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6 показатели " sheetId="1" r:id="rId1"/>
    <sheet name="7 средства по кодам" sheetId="2" r:id="rId2"/>
    <sheet name="8 средства бюджет" sheetId="3" r:id="rId3"/>
    <sheet name="9 КАИП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'6 показатели '!$A$1:$R$203</definedName>
    <definedName name="_xlnm.Print_Area" localSheetId="1">'7 средства по кодам'!$A$1:$T$300</definedName>
    <definedName name="_xlnm.Print_Area" localSheetId="2">'8 средства бюджет'!$A$1:$P$281</definedName>
    <definedName name="_xlnm.Print_Area" localSheetId="3">'9 КАИП'!$A$1:$P$25</definedName>
  </definedNames>
  <calcPr fullCalcOnLoad="1"/>
</workbook>
</file>

<file path=xl/sharedStrings.xml><?xml version="1.0" encoding="utf-8"?>
<sst xmlns="http://schemas.openxmlformats.org/spreadsheetml/2006/main" count="2276" uniqueCount="740">
  <si>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</si>
  <si>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</si>
  <si>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</si>
  <si>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</si>
  <si>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</si>
  <si>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</si>
  <si>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</si>
  <si>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</si>
  <si>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</si>
  <si>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</si>
  <si>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</si>
  <si>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</si>
  <si>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</si>
  <si>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</si>
  <si>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</si>
  <si>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</si>
  <si>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</si>
  <si>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</si>
  <si>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</si>
  <si>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</si>
  <si>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</si>
  <si>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</si>
  <si>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</si>
  <si>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</si>
  <si>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</si>
  <si>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</si>
  <si>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</si>
  <si>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</si>
  <si>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</si>
  <si>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</si>
  <si>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</si>
  <si>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</si>
  <si>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бюджеты муниципальных   образований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</si>
  <si>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</si>
  <si>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</si>
  <si>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</si>
  <si>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</si>
  <si>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</si>
  <si>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</si>
  <si>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</si>
  <si>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</si>
  <si>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</si>
  <si>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</si>
  <si>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</si>
  <si>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</si>
  <si>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</si>
  <si>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</si>
  <si>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</si>
  <si>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</si>
  <si>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</si>
  <si>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</si>
  <si>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</si>
  <si>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</si>
  <si>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</si>
  <si>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</si>
  <si>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</si>
  <si>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</si>
  <si>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Финансирование объектов капитального строительства, включенных в муниципальную программу</t>
  </si>
  <si>
    <t>Муниципальная программа</t>
  </si>
  <si>
    <t>Статус (муниципальная программа, подпрограмма)</t>
  </si>
  <si>
    <t>Наименование муниципальной программы, подпрограммы муниципальной программы</t>
  </si>
  <si>
    <t>бюджеты муниципальных  образований</t>
  </si>
  <si>
    <t>Цель: Создание условий для развития и реализации культурного и духовного потенциала населения сельского поселения Хатанга</t>
  </si>
  <si>
    <t>Задача 1. Сохранение и эффективное использование культурного наследия коренных малочисленных народов Севера</t>
  </si>
  <si>
    <t>1.1</t>
  </si>
  <si>
    <t>1.1.1</t>
  </si>
  <si>
    <t>1.1.2.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</si>
  <si>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</si>
  <si>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</si>
  <si>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</si>
  <si>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</si>
  <si>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</si>
  <si>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</si>
  <si>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</si>
  <si>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</si>
  <si>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Число клубных формирований на 1 тыс. чел. населения</t>
  </si>
  <si>
    <t>Число участников клубных формирований для детей в возрасте до 14 лет включительно</t>
  </si>
  <si>
    <t>%</t>
  </si>
  <si>
    <t>ед.</t>
  </si>
  <si>
    <t>чел</t>
  </si>
  <si>
    <t>экз.</t>
  </si>
  <si>
    <t>тыс. чел</t>
  </si>
  <si>
    <t>х</t>
  </si>
  <si>
    <t>Отдел культуры администрации сельского поселения Хатанга</t>
  </si>
  <si>
    <t>Муниципальное казённое учреждение дополнительного образования "Детская школа искусств" сельского поселения Хатанга</t>
  </si>
  <si>
    <t>Мероприятие</t>
  </si>
  <si>
    <t>Подпрограмма 2</t>
  </si>
  <si>
    <t>0801</t>
  </si>
  <si>
    <t>0804</t>
  </si>
  <si>
    <t>Предоставление услуг культуры населению сельского поселения Хатанга</t>
  </si>
  <si>
    <t>1.2</t>
  </si>
  <si>
    <t>1.2.1</t>
  </si>
  <si>
    <t>1.2.2</t>
  </si>
  <si>
    <t>1.2.3</t>
  </si>
  <si>
    <t>Количество реализуемых образовательных программ</t>
  </si>
  <si>
    <t>Количество детей, участвующих в районных, региональных конкурсах</t>
  </si>
  <si>
    <t>Доля представленных (во всех формах) экспонатов «Золотого фонда» Центра народного творчества» от общего количества предметов фонда</t>
  </si>
  <si>
    <t>Доля изделий декоративно- прикладного искусства, информация о которых подготовлена для внесения в электронную базу данных единого реестра ЦНТ</t>
  </si>
  <si>
    <t>Доля выставочных экспозиций на каждую 1 000 жителей</t>
  </si>
  <si>
    <t>Количество выставочных проектов, осуществляемых в Красноярском крае</t>
  </si>
  <si>
    <t>Количество экземпляров новых поступлений  в библиотечные фонды библиотек Хатангской централизованной библиотечной системы МБУК «КДК» на 1 000 жителей</t>
  </si>
  <si>
    <t>Среднее число книговыдач в расчете на 1 000 жителей</t>
  </si>
  <si>
    <t>Подпрограмма «Искусство и народное творчество»</t>
  </si>
  <si>
    <t>Подпрограмма «Культурное  наследие»</t>
  </si>
  <si>
    <t>Осуществление государственной поддержки муниципальных учреждений культуры (ГП КК "Развитие культуры")</t>
  </si>
  <si>
    <t>0315147</t>
  </si>
  <si>
    <t>0315148</t>
  </si>
  <si>
    <t>Осуществление государственной поддержки лучших работников муниципальных учреждений культуры, находящихся на территории поселений (ГП КК "Развитие культуры")</t>
  </si>
  <si>
    <t xml:space="preserve">Обеспечение деятельности подведомственного учреждения культуры, </t>
  </si>
  <si>
    <t>районный бюджет</t>
  </si>
  <si>
    <t>Удельный вес населения, участвующего в культурно - досуговых мероприятиях, проводимых муниципальными учреждениями культуры</t>
  </si>
  <si>
    <t xml:space="preserve">Количество детей, получающих услуги по дополнительному образованию художественно-эстетической направленности    </t>
  </si>
  <si>
    <t>тыс.экз</t>
  </si>
  <si>
    <t>ГП КК "Развитие культуры"</t>
  </si>
  <si>
    <t>Софинансирование расходов</t>
  </si>
  <si>
    <t xml:space="preserve">Комплектование книжных фондов библиотек муниципальных образований (ИМБТ за счет средств федерального бюджета)   </t>
  </si>
  <si>
    <t>Отдел культуры, молодежной политики и спорта администрации сельского поселения Хатанга</t>
  </si>
  <si>
    <t xml:space="preserve">Комплектование книжных фондов библиотек </t>
  </si>
  <si>
    <t xml:space="preserve">Участие в районных, региональных мероприятиях </t>
  </si>
  <si>
    <t>МП ТДНМР "Культура Таймыра"</t>
  </si>
  <si>
    <t>0311320</t>
  </si>
  <si>
    <t>Организация работы Отдела культуры, молодежной политики и спорта администрации сельского поселения Хатанга</t>
  </si>
  <si>
    <t>0311321</t>
  </si>
  <si>
    <t>0315146</t>
  </si>
  <si>
    <t>Подключение общедоступных библиотек Красноярского края к сети Интернет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</si>
  <si>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</si>
  <si>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0320006010</t>
  </si>
  <si>
    <t>0310001030</t>
  </si>
  <si>
    <t>0310013220</t>
  </si>
  <si>
    <t>0310013210</t>
  </si>
  <si>
    <t>0310013120</t>
  </si>
  <si>
    <t>0703</t>
  </si>
  <si>
    <t>0310006020</t>
  </si>
  <si>
    <t>03100L5190</t>
  </si>
  <si>
    <t>03100S5190</t>
  </si>
  <si>
    <t>0310013130</t>
  </si>
  <si>
    <t>0310010440</t>
  </si>
  <si>
    <t>0310013110</t>
  </si>
  <si>
    <t>0310010310</t>
  </si>
  <si>
    <t>Количество посетителей учреждений  культурно-досугового типа проводимых муниципальными учреждениями культуры на 1 тыс.чел. нас</t>
  </si>
  <si>
    <t>0310010210</t>
  </si>
  <si>
    <t>0320010210</t>
  </si>
  <si>
    <t>Средства на повышение размеров оплаты труда основного и административно-управленческого персонала</t>
  </si>
  <si>
    <t>0310001321</t>
  </si>
  <si>
    <t>Средства на повышение размеров оплаты труда основного персонала библиотек</t>
  </si>
  <si>
    <t>03100S4880</t>
  </si>
  <si>
    <t>0310051440</t>
  </si>
  <si>
    <t>03100L1440</t>
  </si>
  <si>
    <t>Софинансирование расходов на комплектование книжных фондов библиотек муниципальных образований красноярского края</t>
  </si>
  <si>
    <t>Расходы на поддержку отрасли культур</t>
  </si>
  <si>
    <t>Расходы на осуществление государственной поддержки отрасли культур</t>
  </si>
  <si>
    <t>Софинансирование расходов на поддержку отрасли культур</t>
  </si>
  <si>
    <t>0310013240</t>
  </si>
  <si>
    <t>0310013230</t>
  </si>
  <si>
    <t>0310006070</t>
  </si>
  <si>
    <t>0310013260</t>
  </si>
  <si>
    <t>Расходы на повышение размеров оплаты труда работников бюджетной сферы Красноярского края с 1 января 2018 года на 4 процента</t>
  </si>
  <si>
    <t>0310001047</t>
  </si>
  <si>
    <t>0310010400</t>
  </si>
  <si>
    <t>0310010470</t>
  </si>
  <si>
    <t>0320010470</t>
  </si>
  <si>
    <t>0320010480</t>
  </si>
  <si>
    <t>Целевые показатели и показатели результативности (показатели развития отрасли, вида экономической деятельности) муниципальных программ  сельского поселения Хатанга</t>
  </si>
  <si>
    <t>Использование бюджетных ассигнований бюджета сельского поселения Хатанга и иных средств на реализацию муниципальных программ сельского поселения Хатанга</t>
  </si>
  <si>
    <t>1.1.</t>
  </si>
  <si>
    <t>2.</t>
  </si>
  <si>
    <t>2.1.</t>
  </si>
  <si>
    <t>3.</t>
  </si>
  <si>
    <t>3.1.</t>
  </si>
  <si>
    <t xml:space="preserve">Развитие молодежной политики на территории сельского поселения Хатанга </t>
  </si>
  <si>
    <t>0707</t>
  </si>
  <si>
    <t>0500015010</t>
  </si>
  <si>
    <t>Мероприятие 1</t>
  </si>
  <si>
    <t>Проведение мероприятий для детей и молодежи</t>
  </si>
  <si>
    <t>Развитие молодежной политики на территории сельского поселения Хатанга</t>
  </si>
  <si>
    <t>Мероприятие программы 1</t>
  </si>
  <si>
    <t>Цель: Обеспечение условий  для развития на территории сельского поселения Хатанга физической культуры и спорта, организация официальных   физкультурно-оздоровительных и спортивных мероприятий, создание условий, обеспечивающих возможность систематически заниматься физической культурой и спортом</t>
  </si>
  <si>
    <t>Доля жителей сельского поселения Хатанга, систематически занимающихся физической культурой и спортом к общей численности населения поселения</t>
  </si>
  <si>
    <t>Задача 2: Организация проведения физкультурно-оздоровительных и спортивных мероприятий, в том числе с участием школьников и школьных команд</t>
  </si>
  <si>
    <t xml:space="preserve">Количество официальных физкультурно-оздоровительных и спортивных мероприятий, проводимых в сельском поселении за год </t>
  </si>
  <si>
    <t>в том числе с участием школьников и школьных команд</t>
  </si>
  <si>
    <t>Количество участников официальных физкультурно-оздоровительных и спортивных мероприятий в течение года</t>
  </si>
  <si>
    <t>чел.</t>
  </si>
  <si>
    <t xml:space="preserve">Количество призовых мест, занятых на районных, зональных, краевых, иных  соревнованиях на 1 участника выездного мероприятия
</t>
  </si>
  <si>
    <t>0400014010</t>
  </si>
  <si>
    <t>244</t>
  </si>
  <si>
    <t>Организация и проведение физкультурно-массовой работы</t>
  </si>
  <si>
    <t xml:space="preserve">Развитие физической культуры и спорта на территории сельского поселения Хатанга </t>
  </si>
  <si>
    <t>1.</t>
  </si>
  <si>
    <t>Сохранение существующего маршрута перевозок с одновременным обеспечением круглогодичной транспортной доступности</t>
  </si>
  <si>
    <t xml:space="preserve">ед. </t>
  </si>
  <si>
    <t>1.1.2</t>
  </si>
  <si>
    <t>Количество пассажиров, перевозимых по маршруту в течение года</t>
  </si>
  <si>
    <t>тыс.</t>
  </si>
  <si>
    <t>Количество привлекаемого подвижного состава</t>
  </si>
  <si>
    <t>шт.</t>
  </si>
  <si>
    <t xml:space="preserve"> х</t>
  </si>
  <si>
    <t>Администрация сельского поселения Хатанга</t>
  </si>
  <si>
    <t>0408</t>
  </si>
  <si>
    <t>0100000000</t>
  </si>
  <si>
    <t xml:space="preserve"> -</t>
  </si>
  <si>
    <t>Основное мероприятие 1</t>
  </si>
  <si>
    <t>Предоставление субсидий на  возмещение затрат, связанных с осуществлением перевозки отдельных категорий населения автомобильным транспортом (автобус) в селе Хатанга</t>
  </si>
  <si>
    <t>0100006050</t>
  </si>
  <si>
    <t>Количество организованных ярмарок, расширенной торговли на территории сельского поселения</t>
  </si>
  <si>
    <t>Количество хозяйствующих субъектов принявших участие в выставках и ярмарках продукции</t>
  </si>
  <si>
    <t>Количество торговых объектов на территории сельского поселения Хатанга</t>
  </si>
  <si>
    <t>Количество хозяйствующих субъектов, осуществляющих торговую деятельность на территории сельского поселения Хатанга</t>
  </si>
  <si>
    <t>1.2.</t>
  </si>
  <si>
    <t>Задача 2: Создание условий для эффективной деятельности хозяйствующих субъектов по удовлетворению потребностей населения в товарах и услугах</t>
  </si>
  <si>
    <t xml:space="preserve">Подпрограмма «Бензин по доступной цене для населения и сельскохозяйственных предприятий поселков сельского поселения Хатанга»  </t>
  </si>
  <si>
    <t>1.2.1.1</t>
  </si>
  <si>
    <t>Численность населения поселков</t>
  </si>
  <si>
    <t>1.2.1.2</t>
  </si>
  <si>
    <t>Объем бензина</t>
  </si>
  <si>
    <t>тыс.л</t>
  </si>
  <si>
    <t>1.3</t>
  </si>
  <si>
    <t>Задача 3: Повышение экономической доступности товаров для населения поселения</t>
  </si>
  <si>
    <t>1.3.1</t>
  </si>
  <si>
    <t xml:space="preserve">Подпрограмма «Хлеб по доступной цене для населения в с.Хатанга»  </t>
  </si>
  <si>
    <t>1.3.1.1</t>
  </si>
  <si>
    <t xml:space="preserve">Численность населения </t>
  </si>
  <si>
    <t>1.3.1.2</t>
  </si>
  <si>
    <t>Объем хлеба</t>
  </si>
  <si>
    <t>тн.</t>
  </si>
  <si>
    <t>1.4</t>
  </si>
  <si>
    <t>Задача 4:  Осуществление мер по функционированию системы  информационного обеспечения  в сфере торговой деятельности</t>
  </si>
  <si>
    <t>1.4.1</t>
  </si>
  <si>
    <t>Численность информируемых субъектов предпринимательства</t>
  </si>
  <si>
    <t>Создание условий для обеспечения жителей муниципального образования сельское поселение Хатанга услугами торговли</t>
  </si>
  <si>
    <t>0412</t>
  </si>
  <si>
    <t>0200000</t>
  </si>
  <si>
    <t>Администрация СП Хатанга</t>
  </si>
  <si>
    <t>«Бензин по доступной цене для населения и сельскохозяйственных предприятий поселков сельского поселения Хатанга»</t>
  </si>
  <si>
    <t>0210000</t>
  </si>
  <si>
    <t>Возмещение транспортных затрат по доставке бензина для реализации населению и сельскохозяйственным предприятиям мз с.Хатанга в поселки сельского поселения Хатанга</t>
  </si>
  <si>
    <t>0211211</t>
  </si>
  <si>
    <t>"Хлеб по доступной цене для населения в с.Хатанга"</t>
  </si>
  <si>
    <t>0220000</t>
  </si>
  <si>
    <t>Основное мероприятие 2</t>
  </si>
  <si>
    <t>Возмещение разницы между 100% экономически обоснованной стоимостью 1кг хлеба и ценой реализации 1 кг хлеба для населения в с.Хатанга</t>
  </si>
  <si>
    <t>0221221</t>
  </si>
  <si>
    <t>Мероприятие программы n</t>
  </si>
  <si>
    <t xml:space="preserve">федеральный бюджет    </t>
  </si>
  <si>
    <t xml:space="preserve">бюджеты муниципальных   образований </t>
  </si>
  <si>
    <t xml:space="preserve">федеральный бюджет </t>
  </si>
  <si>
    <t>1.1.1.</t>
  </si>
  <si>
    <t>Ремонт (замена) входных крылец</t>
  </si>
  <si>
    <t>кв.м</t>
  </si>
  <si>
    <t>Ремонт (замена) цоколя</t>
  </si>
  <si>
    <t>1.1.3.</t>
  </si>
  <si>
    <t>Окраска оконных блоков</t>
  </si>
  <si>
    <t>1.1.4.</t>
  </si>
  <si>
    <t>Окраска дверных блоков</t>
  </si>
  <si>
    <t>1.1.5.</t>
  </si>
  <si>
    <t xml:space="preserve">Обшивка стен, веранд, угольных складов рубероидом </t>
  </si>
  <si>
    <t>1.1.6.</t>
  </si>
  <si>
    <t>Смена кровельного покрытия с ремонтом обрешетки (покрытие рубероидом)</t>
  </si>
  <si>
    <t>1.1.7.</t>
  </si>
  <si>
    <t>Ремонт (замена, утепление) полов в квартирах</t>
  </si>
  <si>
    <t>1.1.8.</t>
  </si>
  <si>
    <t>Окраска деревянных полов в квартирах</t>
  </si>
  <si>
    <t>1.1.9.</t>
  </si>
  <si>
    <t>Остекление оконных блоков</t>
  </si>
  <si>
    <t>1.1.10.</t>
  </si>
  <si>
    <t>Ремонт штукатурки, окраска фасада известковая</t>
  </si>
  <si>
    <t>1.1.11.</t>
  </si>
  <si>
    <t>Выборочный ремонт печи</t>
  </si>
  <si>
    <t>печь</t>
  </si>
  <si>
    <t>1.1.12.</t>
  </si>
  <si>
    <t>Утепление фасада- обшивка металлическим профилем</t>
  </si>
  <si>
    <t>501</t>
  </si>
  <si>
    <t>0501</t>
  </si>
  <si>
    <t>0900019010</t>
  </si>
  <si>
    <t>1.1.1.1.</t>
  </si>
  <si>
    <t>Сохранение существующего количества объектов внешнего благоустройства в состоянии, соответствующем нормативным требованиям, всего:</t>
  </si>
  <si>
    <t xml:space="preserve">ед.  </t>
  </si>
  <si>
    <t xml:space="preserve"> - </t>
  </si>
  <si>
    <t xml:space="preserve"> - детские игровые площадки</t>
  </si>
  <si>
    <t xml:space="preserve"> - беседки</t>
  </si>
  <si>
    <t xml:space="preserve"> - мусоросборники</t>
  </si>
  <si>
    <t xml:space="preserve"> - водостоки</t>
  </si>
  <si>
    <t xml:space="preserve"> - центральный сквер "Северный островок"</t>
  </si>
  <si>
    <t xml:space="preserve">  -  хоккейная коробка (каток)</t>
  </si>
  <si>
    <t>1.1.1.2.</t>
  </si>
  <si>
    <t>Количество населенных пунктов, обеспеченных необходимым освещением улиц</t>
  </si>
  <si>
    <t>1.2.1.</t>
  </si>
  <si>
    <t>1.2.1.1.</t>
  </si>
  <si>
    <t xml:space="preserve"> - в зимний период</t>
  </si>
  <si>
    <t>тыс. кв.м</t>
  </si>
  <si>
    <t xml:space="preserve"> - в летний период</t>
  </si>
  <si>
    <t>1.3.</t>
  </si>
  <si>
    <t>1.3.1.</t>
  </si>
  <si>
    <t>1.3.1.1.</t>
  </si>
  <si>
    <t>Количество гидротехнических сооружений, на которые разработана проектно-сметная документация на капитальный ремонт</t>
  </si>
  <si>
    <t>1.3.1.2.</t>
  </si>
  <si>
    <t>Количество гидротехнических сооружений, приведенных в нормативное состояние</t>
  </si>
  <si>
    <t>Количество гидротехнических сооружений, на которые разработаны проектно-сметная документация на капитальный ремонт</t>
  </si>
  <si>
    <t>1.4.</t>
  </si>
  <si>
    <t>1.4.1.</t>
  </si>
  <si>
    <t>1.4.1.1.</t>
  </si>
  <si>
    <t>Количество многоквартирных домов в которых отремонтирован фасад</t>
  </si>
  <si>
    <t xml:space="preserve">Всего расходные обязательства </t>
  </si>
  <si>
    <t>0503</t>
  </si>
  <si>
    <t>0600000</t>
  </si>
  <si>
    <t>Х</t>
  </si>
  <si>
    <t>Отдел по управлению муниципальным имуществом администрации СП Хатанга</t>
  </si>
  <si>
    <t>567</t>
  </si>
  <si>
    <t>0406</t>
  </si>
  <si>
    <t>0610016120</t>
  </si>
  <si>
    <t>Уличное освещение населенных пунктов сельского поселения Хатанга</t>
  </si>
  <si>
    <t>0610016110</t>
  </si>
  <si>
    <t>810</t>
  </si>
  <si>
    <t>Мероприятие 2</t>
  </si>
  <si>
    <t>Благоустройство территорий сельского поселения Хатанга</t>
  </si>
  <si>
    <t>240</t>
  </si>
  <si>
    <t>Мероприятие 2.1.</t>
  </si>
  <si>
    <t>Благоустройство, озеленение, обеспечение чистоты и порядка в населенных пунктах сельского поселения Хатанга</t>
  </si>
  <si>
    <t>Мероприятие 2.2.</t>
  </si>
  <si>
    <t>Содержание беседок</t>
  </si>
  <si>
    <t>Мероприятие 2.3.</t>
  </si>
  <si>
    <t>Содержание детских площадок</t>
  </si>
  <si>
    <t>Мероприятие 2.4.</t>
  </si>
  <si>
    <t>Содержание мусоросборников</t>
  </si>
  <si>
    <t>Мероприятие 2.5.</t>
  </si>
  <si>
    <t>Содержание и ремонт водостоков</t>
  </si>
  <si>
    <t>Мероприятие 2.6.</t>
  </si>
  <si>
    <t>Устройство зимнего Новогоднего городка в селе Хатанга</t>
  </si>
  <si>
    <t>Мероприятие 2.6.1.</t>
  </si>
  <si>
    <t xml:space="preserve">Приобретение новогодней светодиодной иллюминации (деревья и панно) </t>
  </si>
  <si>
    <t>Мероприятие 2.6.1.1.</t>
  </si>
  <si>
    <t>Устройство светодиодной иллюминации (панно)</t>
  </si>
  <si>
    <t>Мероприятие 2.6.2.</t>
  </si>
  <si>
    <t>Устройство светодиодной иллюминации (деревья)</t>
  </si>
  <si>
    <t>Мероприятие 2.7.</t>
  </si>
  <si>
    <t>Содержание мест захоронения</t>
  </si>
  <si>
    <t>Мероприятие 2.8.</t>
  </si>
  <si>
    <t>Содержание и ремонт центрального сквера "Северный островок"</t>
  </si>
  <si>
    <t>Выполнение работ по зачистке,вывозу мусора и грейдированию территории под аварийными домами по адресу ул.Аэропортовская №18,20,22,29, ул.Экспедиционная №28</t>
  </si>
  <si>
    <t>Мероприятие 2.10.</t>
  </si>
  <si>
    <t>Выполнение работ по заливке хоккейной коробки</t>
  </si>
  <si>
    <t>Мероприятие 3</t>
  </si>
  <si>
    <t>Приобретение хоккейной коробки</t>
  </si>
  <si>
    <t>0610016130</t>
  </si>
  <si>
    <t>Мероприятие 4</t>
  </si>
  <si>
    <t>Обустройство физкультурно-оздоровительной площадки в с. Хатанга</t>
  </si>
  <si>
    <t>0610016430</t>
  </si>
  <si>
    <t>Мероприятие 5</t>
  </si>
  <si>
    <t xml:space="preserve">Выполнение работ по приобретению и установке детской игровой площадки на придомовой территории жилого дома в с. Хатанга по ул.Норильская, 10
</t>
  </si>
  <si>
    <t>Мероприятие 6</t>
  </si>
  <si>
    <t>Устройство площадки под строительство гаражей</t>
  </si>
  <si>
    <t>0409</t>
  </si>
  <si>
    <t>0620000000</t>
  </si>
  <si>
    <t>Содержание автомобильных дорог общего пользования в селе Хатанга в летний период</t>
  </si>
  <si>
    <t xml:space="preserve">Содержание автомобильных дорог общего пользования в селе Хатанга </t>
  </si>
  <si>
    <t>062007393А</t>
  </si>
  <si>
    <t>Содержание автомобильных дорог общего пользования в селе Хатанга (софинансирование)</t>
  </si>
  <si>
    <t>06200S3930</t>
  </si>
  <si>
    <t xml:space="preserve">Содержание автомобильных дорог общего пользования в зимний период в районе жилых домов по улицам Норильская, Ангарская, Геологическая </t>
  </si>
  <si>
    <t>Содержание автомобильных дорог общего пользования в зимний период в районе жилых домов по улицам Норильская, Ангарская, Геологическая (софинансирование)</t>
  </si>
  <si>
    <t xml:space="preserve">Содержание автомобильных дорог общего пользования в селе Хатанга за исключением автомобильных дорог в районе жилых домов по улицам Норильская, Ангарская, Геологическая </t>
  </si>
  <si>
    <t xml:space="preserve">Содержание автомобильных дорог общего пользования в селе Хатанга за исключением автомобильных дорог в районе жилых домов по улицам Норильская, Ангарская, Геологическая (софинансирование) </t>
  </si>
  <si>
    <t xml:space="preserve">Расходы по приобретению и установке дорожных знаков </t>
  </si>
  <si>
    <t>0620016230</t>
  </si>
  <si>
    <t>Расходы на ремонт моста в с.Хатанга в районе ул.Геологическая, 8</t>
  </si>
  <si>
    <t>0620016220</t>
  </si>
  <si>
    <t>Подпрограмма 3</t>
  </si>
  <si>
    <t>0630000000</t>
  </si>
  <si>
    <t>Капитальный ремонт ледозащитной дамбы на реке Хатанга у с. Хатанга</t>
  </si>
  <si>
    <t>Капитальный ремонт ледозащитной дамбы на реке Хатанга у с. Хатанга (софинансирование)</t>
  </si>
  <si>
    <t>Проверка достоверности определения сметной стоимости объекта капитального строительства "Капитальный ремонт ледозащитной дамбы на реке Хатанга в с.Хатанга</t>
  </si>
  <si>
    <t>Подпрограмма 4</t>
  </si>
  <si>
    <t>0640000000</t>
  </si>
  <si>
    <t>Текущий ремонт фасадов многоквартирных домов в с. Хатанга</t>
  </si>
  <si>
    <t>0640016410</t>
  </si>
  <si>
    <t>Сохранение существующего количества общественных бань с еженедельным предоставлением бытовых услуг населению</t>
  </si>
  <si>
    <t>Количество посещений бани населением в течение года</t>
  </si>
  <si>
    <t>Количество многодетных семей, у которых в жилых помещениях отремонтировано печное оборудование</t>
  </si>
  <si>
    <t>Количество муниципальных учреждений оснащенных приборами учета тепловой энергии</t>
  </si>
  <si>
    <t>Количество муниципальных учреждений оснащенных приборами учета используемой воды</t>
  </si>
  <si>
    <t>Доля электрических сетей, используемых  в производственной деятельности, на которые оформлена техническая документация.</t>
  </si>
  <si>
    <t>0</t>
  </si>
  <si>
    <t>1.5.</t>
  </si>
  <si>
    <t>1.5.1.</t>
  </si>
  <si>
    <t>1.5.1.1.</t>
  </si>
  <si>
    <t>Доля светодиодных светильников в системе уличного освещения села Хатанга, всего:</t>
  </si>
  <si>
    <t>100</t>
  </si>
  <si>
    <t>-ООО "Энергия"</t>
  </si>
  <si>
    <t>-ОАО "Полярная ГРЭ"</t>
  </si>
  <si>
    <t xml:space="preserve"> - ООО "УК "ЭнергобытСервис"</t>
  </si>
  <si>
    <t>1.5.1.2.</t>
  </si>
  <si>
    <t>Количество светодиодных светильников в системе уличного освещения поселков сельского поселения Хатанга (за исключением с. Хатанга)</t>
  </si>
  <si>
    <t>8</t>
  </si>
  <si>
    <t>28</t>
  </si>
  <si>
    <t>1.5.1.3</t>
  </si>
  <si>
    <t>Количество металлических опор  в системе уличного освещения  с. Хатанга</t>
  </si>
  <si>
    <t>5</t>
  </si>
  <si>
    <t>1.6.</t>
  </si>
  <si>
    <t>1.6.1.</t>
  </si>
  <si>
    <t>1.6.1.1.</t>
  </si>
  <si>
    <t>Доля жилых помещений, находящихся в собственности сельского поселения Хатанга, оснащенных индивидуальными приборами учета используемых ресурсов.</t>
  </si>
  <si>
    <t>1.7.</t>
  </si>
  <si>
    <t>1.7.1.</t>
  </si>
  <si>
    <t>1.7.1.1.</t>
  </si>
  <si>
    <t>Количество разработанных схем водоснабжения и водоотведения</t>
  </si>
  <si>
    <t>2</t>
  </si>
  <si>
    <t>1.8.</t>
  </si>
  <si>
    <t>1.8.1.</t>
  </si>
  <si>
    <t>1.8.1.1.</t>
  </si>
  <si>
    <t>Проведение инженерно-геологических изысканий в с. Хатанга</t>
  </si>
  <si>
    <t>1.8.1.2.</t>
  </si>
  <si>
    <t>Обеспеченность  разработанной проектно-сметной документацией модернизации системы водоснабжения с. Хатанга</t>
  </si>
  <si>
    <t>1</t>
  </si>
  <si>
    <t>1.8.1.3.</t>
  </si>
  <si>
    <t>Строительство станции второго подьема</t>
  </si>
  <si>
    <t>м2</t>
  </si>
  <si>
    <t>188,2</t>
  </si>
  <si>
    <t>1.9.</t>
  </si>
  <si>
    <t>1.9.1.</t>
  </si>
  <si>
    <t>1.9.1.1.</t>
  </si>
  <si>
    <t>Доля жилых домов, расположенных на территории с. Хатанга, оснащенных общедомовыми (коллективными) приборами учета успользуемых ресурсов в том числе:   -тепловой энергии;             -холодной воды</t>
  </si>
  <si>
    <t>0500</t>
  </si>
  <si>
    <t>0700000</t>
  </si>
  <si>
    <t>0502</t>
  </si>
  <si>
    <t>0710000000</t>
  </si>
  <si>
    <t>Возмещение части затрат, связанных с предоставлением населению села Хатанга услуг бани по тарифу ниже экономически обоснованного тарифа</t>
  </si>
  <si>
    <t>0710017110</t>
  </si>
  <si>
    <t>0720000</t>
  </si>
  <si>
    <t>Ремонт печного оборудования и остекление оконных блоков в домах</t>
  </si>
  <si>
    <t>0721721</t>
  </si>
  <si>
    <t>Мероприятие 1.1.</t>
  </si>
  <si>
    <t>Ремонт печного оборудования в домах с печным отоплением</t>
  </si>
  <si>
    <t>Мероприятие 1.2.</t>
  </si>
  <si>
    <t>Ремонт и остекление оконных блоков в  жилых домах</t>
  </si>
  <si>
    <t>0505</t>
  </si>
  <si>
    <t>0730000</t>
  </si>
  <si>
    <t>Установка приборов учета используемых воды и тепловой энергии</t>
  </si>
  <si>
    <t>0731731</t>
  </si>
  <si>
    <t>Приобретение и установка приборов учета используемых воды и тепловой энергии в здании администрации сельского поселения Хатанга</t>
  </si>
  <si>
    <t>Приобретение и установка приборов учета используемых воды и тепловой энергии в здании гаража сельского поселения Хатанга</t>
  </si>
  <si>
    <t>07311731</t>
  </si>
  <si>
    <t>Приобретение и установка приборов учета используемых воды и тепловой энергии в здании Детской школы искусств</t>
  </si>
  <si>
    <t>Мероприятие 1.3.</t>
  </si>
  <si>
    <t>Выполнение дополнительных работ для установки приборов учета в здании администрации сельского поселения Хатанга</t>
  </si>
  <si>
    <t>0740000</t>
  </si>
  <si>
    <t>Возмещение части затрат, связанных с изготовлением технических  и  кадастровых паспортов на электрические сети</t>
  </si>
  <si>
    <t>0741741</t>
  </si>
  <si>
    <t>Подпрограмма 5</t>
  </si>
  <si>
    <t>075000</t>
  </si>
  <si>
    <t>Мероприятие 1.</t>
  </si>
  <si>
    <t xml:space="preserve"> Возмещение затрат, связанных с приобретением и установкой светодиодных светильников для освещения улиц населенных пунктов сельского поселения Хатанга</t>
  </si>
  <si>
    <t>0751751</t>
  </si>
  <si>
    <t xml:space="preserve"> Возмещение затрат, связанных с приобретением и установкой светодиодных светильников для освещения улиц села Хатанга, за исключением улиц Ангарская, Геологическая, Норильская</t>
  </si>
  <si>
    <t xml:space="preserve"> Возмещение затрат, связанных с приобретением и установкой светодиодных светильников для освещения улиц Ангарская, Геологическая, Норильская</t>
  </si>
  <si>
    <t xml:space="preserve"> Возмещение затрат связанных с приобретением и установкой светодиодных светильников для освещения поселков сельского поселения Хатанга (за исключением села Хатанга)</t>
  </si>
  <si>
    <t xml:space="preserve">Мероприятие 2 </t>
  </si>
  <si>
    <t>Приобретение и установка в системе уличного освещения поселков сельского поселения Хатанга (за исключением с. Хатанга)</t>
  </si>
  <si>
    <t>0750017510</t>
  </si>
  <si>
    <t>Монтаж металлических опор уличного освещения</t>
  </si>
  <si>
    <t>Подпрограмма 6</t>
  </si>
  <si>
    <t>0760000</t>
  </si>
  <si>
    <t>Возмещение затрат, связанных с приобретением и установкой индивидуальных приборов учета используемой холодной и горячей воды  в муниципальном жилом фонде.</t>
  </si>
  <si>
    <t>0761761</t>
  </si>
  <si>
    <t>Возмещение затрат, связанных с приобретением и установкой индивидуальных приборов учета используемой холодной и горячей воды  в муниципальных жилых помещениях многоквартирных домов по  улицам Геологическая, Норильская</t>
  </si>
  <si>
    <t>Возмещение затрат, связанных с приобретением и установкой индивидуальных приборов учета используемой холодной и горячей воды в муниципальных жилых помещениях многоквартирых домов по улицам Краснопеева, Советская, Таймырская.</t>
  </si>
  <si>
    <t>Установка индивидуальных приборов учета используемых коммунальных ресурсов в жилых помещениях, находящихся в муниципальной собственности сельского поселения Хатанга</t>
  </si>
  <si>
    <t>0760017610</t>
  </si>
  <si>
    <t>Программа 7</t>
  </si>
  <si>
    <t>0770000000</t>
  </si>
  <si>
    <t xml:space="preserve">Разработка схемы водоснабжения и водоотведения </t>
  </si>
  <si>
    <t>0770017710</t>
  </si>
  <si>
    <t>Подпрограмма 8</t>
  </si>
  <si>
    <t>0790000000</t>
  </si>
  <si>
    <t>0791791</t>
  </si>
  <si>
    <t>Разработка проектно-сметной документации на модернизацию системы водоснабжения в с. Хатанга</t>
  </si>
  <si>
    <t>0790017920</t>
  </si>
  <si>
    <t>Оборудование для воды блочно-модульного типа</t>
  </si>
  <si>
    <t>0790017930</t>
  </si>
  <si>
    <t>310</t>
  </si>
  <si>
    <t xml:space="preserve">Строительство станции второго подьема </t>
  </si>
  <si>
    <t>Строительство станции второго подьема  (софинансирование)</t>
  </si>
  <si>
    <t>Мероприятие 7</t>
  </si>
  <si>
    <t>Проведение инженерно-геологических изысканий  под строительство станции по очистке хозяйственно-бытовых сточных вод в селе Хатанга</t>
  </si>
  <si>
    <t>0790017910</t>
  </si>
  <si>
    <t>Мероприятие 8</t>
  </si>
  <si>
    <t xml:space="preserve">Изготовление проектно-сметной документации и получение положительного заключения на результаты инженерно-геологических изысканий и проектно-сметной документации под строительство станции по очистке хозяйственно-бытовых сточных вод в селе Хатанга
</t>
  </si>
  <si>
    <t>Подпрограмма 9</t>
  </si>
  <si>
    <t>Переход на отпуск холодной воды и тепловой энергии потребителям, проживающим в муниципальном жилом фонде в соответствии с показаниями общедомовых приборов учета</t>
  </si>
  <si>
    <t>0780000</t>
  </si>
  <si>
    <t>0780000000</t>
  </si>
  <si>
    <t>Возмещение затрат, связанных с приобретением и установкой коллективных (общедомовых) приборов учета тепловой энергии и холодной воды (в части муниципального жилого фонда)</t>
  </si>
  <si>
    <t>0780017810</t>
  </si>
  <si>
    <t>Подпрограмма 7</t>
  </si>
  <si>
    <t xml:space="preserve">Организация и проведение мероприятий, направленных на профилактику экстремизма и минимизации последствий его проявления в сельском поселении Хатанга, в том числе:
- охват населения информацией, содержащийся в печатной продукции
(плакатах, буклетах, листовках и др.)
</t>
  </si>
  <si>
    <t>Чел.</t>
  </si>
  <si>
    <t>Акция «Национальное подворье» на День Хатанги</t>
  </si>
  <si>
    <t>количество зарегистрированных преступлений</t>
  </si>
  <si>
    <t xml:space="preserve">количество зарегистрированных преступлений, совершенных ранее судимыми лицами </t>
  </si>
  <si>
    <t>количество зарегистрированных преступлений, совершенных несовершеннолетними</t>
  </si>
  <si>
    <t>количество административных правонарушений, совершенных несовершеннолетними</t>
  </si>
  <si>
    <t>Количество проведенных профилактических мероприятий, направленных на формирование у подростков негативного отношения к правонарушениям</t>
  </si>
  <si>
    <t>Количество семей, находящихся в социально опасном положении, в них детей</t>
  </si>
  <si>
    <t>28/69</t>
  </si>
  <si>
    <t>доля несовершеннолетних, состоящих на учете в КДН, посещающих кружки и секции в свободное от учебы время</t>
  </si>
  <si>
    <t>Сохранение доли  несовершеннолетних и молодежи в возрасте от 8 до 30 лет, вовлеченных в профилактические мероприятия, по отношению к общей численности указанных категорий лиц</t>
  </si>
  <si>
    <t>Количество встреч, проведенных с представителями правоохранительных органов, медицинских, культурных, образовательных учреждений и общественными организациями в целях выработки единых подходов к содержанию профилактических мер</t>
  </si>
  <si>
    <t>всего расходы,                   в том числе по ГРБС:</t>
  </si>
  <si>
    <t>Отдел культуры, молодежной политики и спорта</t>
  </si>
  <si>
    <t>Мероприятия программы</t>
  </si>
  <si>
    <t>Организация и проведение мероприятий, направленных на профилактику экстремизма и минимизации последствий его проявления в сельском поселении Хатанга, в том числе:</t>
  </si>
  <si>
    <t>всего расходы,                    в том числе по ГРБС:</t>
  </si>
  <si>
    <t>- охват населения информацией, содержащийся в печатной продукции (плакатах, буклетах, листовках и др.)</t>
  </si>
  <si>
    <t>Молодежный проект «Мы вместе» (мероприятия, направленные на профилактику молодёжного экстремизма)</t>
  </si>
  <si>
    <r>
      <rPr>
        <b/>
        <sz val="10"/>
        <rFont val="Times New Roman"/>
        <family val="1"/>
      </rPr>
      <t>Показатель</t>
    </r>
    <r>
      <rPr>
        <sz val="10"/>
        <rFont val="Times New Roman"/>
        <family val="1"/>
      </rPr>
      <t>: удельный вес молодых граждан, проживающих в сельском поселении, вовлеченных в социально-экономические молодежные проекты</t>
    </r>
  </si>
  <si>
    <r>
      <rPr>
        <b/>
        <sz val="10"/>
        <rFont val="Times New Roman"/>
        <family val="1"/>
      </rPr>
      <t>Показатель:</t>
    </r>
    <r>
      <rPr>
        <sz val="10"/>
        <rFont val="Times New Roman"/>
        <family val="1"/>
      </rPr>
      <t xml:space="preserve"> количество  реализованных молодежными объединениями социально-экономических проектов </t>
    </r>
  </si>
  <si>
    <r>
      <rPr>
        <b/>
        <sz val="10"/>
        <rFont val="Times New Roman"/>
        <family val="1"/>
      </rPr>
      <t>Показатель:</t>
    </r>
    <r>
      <rPr>
        <sz val="10"/>
        <rFont val="Times New Roman"/>
        <family val="1"/>
      </rPr>
      <t xml:space="preserve"> удельный вес молодых граждан сельского поселения, принявших участие в мероприятиях, направленных на формирование здорового образа жизни</t>
    </r>
  </si>
  <si>
    <r>
      <rPr>
        <b/>
        <sz val="10"/>
        <rFont val="Times New Roman"/>
        <family val="1"/>
      </rPr>
      <t>Цель:</t>
    </r>
    <r>
      <rPr>
        <sz val="10"/>
        <rFont val="Times New Roman"/>
        <family val="1"/>
      </rPr>
      <t xml:space="preserve"> Осуществление противодействия терроризму и минимизации последствий его проявления в сельском поселении Хатанга</t>
    </r>
  </si>
  <si>
    <r>
      <rPr>
        <b/>
        <sz val="10"/>
        <rFont val="Times New Roman"/>
        <family val="1"/>
      </rPr>
      <t>Задача:</t>
    </r>
    <r>
      <rPr>
        <sz val="10"/>
        <rFont val="Times New Roman"/>
        <family val="1"/>
      </rPr>
      <t xml:space="preserve"> Повышение степени организации и проведения комплекса организационно-административных, профилактических, пропагандистских мероприятий, способствующих предупреждению экстремистских проявлений и минимизации последствий его проявления в сельском поселении Хатанга.</t>
    </r>
  </si>
  <si>
    <t>Подпрограмма 1. Комплексное благоустройство территорий сельского поселения</t>
  </si>
  <si>
    <t>Подпрограмма 2: Улично-дорожная сеть села Хатанга</t>
  </si>
  <si>
    <t>Подпрограмма 3: Охрана водных ресурсов</t>
  </si>
  <si>
    <t>Подпрограмма 4: Текущий ремон фасадов многоквартирных домов</t>
  </si>
  <si>
    <t>Подпрограмма 1: Создание условий для обеспечения населения села Хатанга бытовыми услугами</t>
  </si>
  <si>
    <t>Подпрограмма 2: Создание безопасных и комфортных условий проживания многодетных семей в домах с печным отоплением</t>
  </si>
  <si>
    <t>Подпрограмма 3: Повышение энергетической эффективности муниципальных учреждений</t>
  </si>
  <si>
    <t>Подпрограмма 4: Оформление  права муниципальной собственности на электрические сети</t>
  </si>
  <si>
    <t>Подпрограмма 5: Уличное освещение и улучшение  условий проживания населения</t>
  </si>
  <si>
    <t>Подпрограмма 6: 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учета.</t>
  </si>
  <si>
    <t>Подпрограмма 7: Разработка схем водоснабжения и водоотведения</t>
  </si>
  <si>
    <t>Подпрограмм 8: Модернизация системы водоснабжения</t>
  </si>
  <si>
    <t>Программа 9: Переход  на отпуск холодной воды и тепловой энергии потребителям, проживающим в муниципальном  жилом фонде, в соответствии с показателями общедомовых  приборов учета</t>
  </si>
  <si>
    <t>Коваленко Е.И.</t>
  </si>
  <si>
    <t>8 (39176) 21684</t>
  </si>
  <si>
    <t>Использование бюджетных ассигнований краевого бюджета и иных средств на реализацию мероприятий муниципальных программ сельского поселения Хатанга</t>
  </si>
  <si>
    <t>ИТОГО ПО МУНИЦИПАЛЬНЫМ ПРОГРАММАМ</t>
  </si>
  <si>
    <t>ИТОГО</t>
  </si>
  <si>
    <t>2018 (отчетный год)</t>
  </si>
  <si>
    <t>2019 (текущий год)</t>
  </si>
  <si>
    <t>0320010230</t>
  </si>
  <si>
    <t>0310010380</t>
  </si>
  <si>
    <t>0310013300</t>
  </si>
  <si>
    <t>Всероссийский лыжный забег "Лыжня России" в поселках</t>
  </si>
  <si>
    <t>0310010230</t>
  </si>
  <si>
    <t>Поддержка искусства и народного творчества государственной программы "Развитие культуры и туризма"</t>
  </si>
  <si>
    <t>Софинансирование расходов за счет средств местного бюджета</t>
  </si>
  <si>
    <t>03100S4810</t>
  </si>
  <si>
    <t>03100L4670</t>
  </si>
  <si>
    <t>2.1.1</t>
  </si>
  <si>
    <t>Количество учреждений, обеспеченных типовыми уголками безопасности дорожного движения для общеобразовательных учреждений</t>
  </si>
  <si>
    <t>Приобретение и установка уличного баннера</t>
  </si>
  <si>
    <t>Цель: Совершенствование и повышение эффективности деятельности по профилактике правонарушений в сельском поселении Хатанга, обеспечение максимально возможного уровня общественной безопасности</t>
  </si>
  <si>
    <t xml:space="preserve">Задача:   Обеспечение общественного порядка и противодействие правонарушениям    </t>
  </si>
  <si>
    <t>единиц</t>
  </si>
  <si>
    <t>Количество преступлений - ниже ожидаемого, требуется корректировка показателя</t>
  </si>
  <si>
    <t xml:space="preserve">Задача:   Профилактика безнадзорности и правонарушений среди несовершеннолетних      </t>
  </si>
  <si>
    <t xml:space="preserve">причина не выполнения - завышенное ожидание положительной динамики, недостаточное качество мероприятий по ранней профилактике правонарушений. Действия: корректировка показателя на 2020 год и далее, повышение качества мероприятий  </t>
  </si>
  <si>
    <t>1.2.4</t>
  </si>
  <si>
    <t>30/69</t>
  </si>
  <si>
    <t>26/54</t>
  </si>
  <si>
    <t>25/50</t>
  </si>
  <si>
    <t>24/48</t>
  </si>
  <si>
    <t>27/67</t>
  </si>
  <si>
    <t>1.2.5</t>
  </si>
  <si>
    <t xml:space="preserve">Задача:   Противодействие распространению алкоголизма, наркомании     </t>
  </si>
  <si>
    <t>1.3.2</t>
  </si>
  <si>
    <t>Ремонт чердачного перекрытия</t>
  </si>
  <si>
    <t>Демонтаж засыпного утеплителя из шлака</t>
  </si>
  <si>
    <t>м3</t>
  </si>
  <si>
    <t>Ремонт деревянных балок с заменой черепных брусков (50х50 -0,2 м3)</t>
  </si>
  <si>
    <t>м</t>
  </si>
  <si>
    <t>Ремонт деревянных перекрытий со сменой подборов из досок. Разборка подборов.Укладка по черепным брускам подбора</t>
  </si>
  <si>
    <t>Утепление покрытий плитами из минеральной ваты в 2 слоя (Утепление минплитой ПТ-50)</t>
  </si>
  <si>
    <t>Устройство пароизоляции из  гидро-ветрозащитной пленки Изоспан А</t>
  </si>
  <si>
    <t>Укладка ходовых досок</t>
  </si>
  <si>
    <t>Ремонт деревянной конструкции крыши</t>
  </si>
  <si>
    <t>Укладка по фермам прогонов из брусьев  100х100  -коньковых, укладка лежня</t>
  </si>
  <si>
    <t>2.2.</t>
  </si>
  <si>
    <t>Укладка по фермам прогонов из досок (замена затяжек -доска 60х100 )</t>
  </si>
  <si>
    <t>2.3.</t>
  </si>
  <si>
    <t>Установка   деревянных стоек под  балки  или прогоны ( брус100х100)</t>
  </si>
  <si>
    <t>Покрытие кровель</t>
  </si>
  <si>
    <t>Разборка покрытий кровель из волнистых и полуволнистых асбестоцементных листов</t>
  </si>
  <si>
    <t>3.2.</t>
  </si>
  <si>
    <t>Смена обрешетки с прозорами из досок толщиной  32 мм (дос.необрезная  т.32мм-16,34м3)</t>
  </si>
  <si>
    <t>3.3.</t>
  </si>
  <si>
    <t>Устройство пароизоляции из  антиконденсатной пленки в один слой насухо</t>
  </si>
  <si>
    <t>3.4.</t>
  </si>
  <si>
    <t>Устройство кровли из профилированного оцинкованного листа Н 64-0.7 по готовым прогонам:  (Укладка листов из металопрофиля по готовым прогонам, постановка креплений, обделка коньков, труб, шахт и примыканий к стенам.) Замена коньковой-180м и торцовых  ветровых  планок 210м  из оцинкованной. стали (шириной 0,4х0.4 м)</t>
  </si>
  <si>
    <t>3.5.</t>
  </si>
  <si>
    <t>Установка узлов прохода вытяжных вентиляционных шахт и дымовой трубы диаметром патрубка до 250 мм</t>
  </si>
  <si>
    <t>3.6.</t>
  </si>
  <si>
    <t>Смена обделок из листовой стали, примыканий к дымовым и вентиляционным трубам</t>
  </si>
  <si>
    <t>м.</t>
  </si>
  <si>
    <t>3.7.</t>
  </si>
  <si>
    <t>Установка решеток жалюзийных площадью в свету до 0,5 м2</t>
  </si>
  <si>
    <t>Площадь дорожного полотна, поддерживаемая в нормальном техническом и эксплуатационном состоянии</t>
  </si>
  <si>
    <t>4</t>
  </si>
  <si>
    <t xml:space="preserve">10           </t>
  </si>
  <si>
    <t>1100011010</t>
  </si>
  <si>
    <t>Основное мероприятия</t>
  </si>
  <si>
    <t>Изготовление типовых уголков безопасности дорожного движения для общественных учреждений</t>
  </si>
  <si>
    <t>Изготовление типовых уголков безопасности дорожного движения для общеобразовательных учреждений</t>
  </si>
  <si>
    <t>Всего расходных обязательств</t>
  </si>
  <si>
    <t>Финансовый Отдел  администрации СП Хатанга</t>
  </si>
  <si>
    <t>585</t>
  </si>
  <si>
    <t>Мероприятие 2.6.3.</t>
  </si>
  <si>
    <t xml:space="preserve">Приобретение новогодней светодиодной иллюминации (дюралайт, светодиодные лампочки для гирлянд и пр.) </t>
  </si>
  <si>
    <t>Мероприятие 2.11.</t>
  </si>
  <si>
    <t>Приобретение и доставка адресных табличек для с.Хатанга и п.Попигай, п.Катырык, п.Сындасско</t>
  </si>
  <si>
    <t>06100S7410</t>
  </si>
  <si>
    <t>0620016210</t>
  </si>
  <si>
    <t>06200S5080</t>
  </si>
  <si>
    <t>0630016310</t>
  </si>
  <si>
    <t>Финансовый отдел администрации СП Хатанга</t>
  </si>
  <si>
    <t>Разработка проектно-сметной документации на капитальный ремонт ледозащитной дамбы на реке Хатанга у с. Хатанга</t>
  </si>
  <si>
    <t>0630074960</t>
  </si>
  <si>
    <t>Разработка проектно-сметной документации на капитальный ремонт ледозащитной дамбы на реке Хатанга у с. Хатанга (софинансирование)</t>
  </si>
  <si>
    <t>063006131</t>
  </si>
  <si>
    <t>Разработка проектно-сметной документации на капитальный ремонт водозащитной дамбы на реке Хатанга у с. Хатанга</t>
  </si>
  <si>
    <t>Разработка проектно-сметной документации на капитальный ремонт водозащитной дамбы на реке Хатанга у с. Хатанга (софинансирование)</t>
  </si>
  <si>
    <t>06300L016Б</t>
  </si>
  <si>
    <t>Капитальный ремонт водозащитной дамбы на реке Хатанга у с. Хатанга</t>
  </si>
  <si>
    <t>Капитальный ремонт водозащитной дамбы на реке Хатанга у с. Хатанга (софинансирование)</t>
  </si>
  <si>
    <t>Администрации СП Хатанга</t>
  </si>
  <si>
    <t>0630016320</t>
  </si>
  <si>
    <t>Модернизация системы водоснабжения</t>
  </si>
  <si>
    <t>Финансовый отдел Администрация СП Хатанга</t>
  </si>
  <si>
    <t>0790002430</t>
  </si>
  <si>
    <t>540</t>
  </si>
  <si>
    <t>0796552430</t>
  </si>
  <si>
    <t>Мероприятие 9</t>
  </si>
  <si>
    <t>Работы по формированию проекта межевания и планирования территории под строительство очистных сооружений хозяйственно-бытовых сточных вод в селе Хатанга</t>
  </si>
  <si>
    <r>
      <rPr>
        <b/>
        <sz val="12"/>
        <rFont val="Times New Roman"/>
        <family val="1"/>
      </rPr>
      <t xml:space="preserve">Цель: </t>
    </r>
    <r>
      <rPr>
        <sz val="12"/>
        <rFont val="Times New Roman"/>
        <family val="1"/>
      </rPr>
      <t>Создание условий для развития и реализации потенциала молодежи в интересах сельского поселения Хатанга.</t>
    </r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</si>
  <si>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Создание условий успешной социализации и эффективной самореализации молодежи.             </t>
    </r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</si>
  <si>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поддержка общественных молодёжных объединений, их вовлечение в социально значимую работу.                                                            </t>
    </r>
  </si>
  <si>
    <r>
      <rPr>
        <b/>
        <sz val="12"/>
        <rFont val="Times New Roman"/>
        <family val="1"/>
      </rPr>
      <t xml:space="preserve">Задача: </t>
    </r>
    <r>
      <rPr>
        <sz val="12"/>
        <rFont val="Times New Roman"/>
        <family val="1"/>
      </rPr>
      <t xml:space="preserve">формирование и внедрение в социальную практику профилактических мероприятий, направленных на ориентацию несовершеннолетних граждан и молодежи на здоровый образ жизни                </t>
    </r>
  </si>
  <si>
    <r>
      <rPr>
        <b/>
        <sz val="12"/>
        <rFont val="Times New Roman"/>
        <family val="1"/>
      </rPr>
      <t>Задача 1</t>
    </r>
    <r>
      <rPr>
        <sz val="12"/>
        <rFont val="Times New Roman"/>
        <family val="1"/>
      </rPr>
      <t xml:space="preserve">: Развитие и пропаганда массовой физической культуры и спорта, увеличение количества жителей систематически занимающихся физической культурой и спортом.      </t>
    </r>
  </si>
  <si>
    <r>
      <rPr>
        <b/>
        <sz val="12"/>
        <rFont val="Times New Roman"/>
        <family val="1"/>
      </rPr>
      <t>Задача 3:</t>
    </r>
    <r>
      <rPr>
        <sz val="12"/>
        <rFont val="Times New Roman"/>
        <family val="1"/>
      </rPr>
      <t xml:space="preserve"> Содействие созданию условий для подготовки спортивного резерва</t>
    </r>
  </si>
  <si>
    <r>
      <rPr>
        <b/>
        <sz val="12"/>
        <rFont val="Times New Roman"/>
        <family val="1"/>
      </rPr>
      <t xml:space="preserve">Цель: </t>
    </r>
    <r>
      <rPr>
        <sz val="12"/>
        <rFont val="Times New Roman"/>
        <family val="1"/>
      </rPr>
      <t xml:space="preserve">Создание  условий  для  предоставления  транспортных услуг  отдельным категориям  населения  (школьникам, детям, посещающим дошкольные образовательные учреждения, пенсионерам и населению в поликлинику) и организация транспортного обслуживания, удовлетворяющего потребности этих категорий населения  и  экономики  сельского  поселения  Хатанга  </t>
    </r>
  </si>
  <si>
    <r>
      <t xml:space="preserve">Задача:   </t>
    </r>
    <r>
      <rPr>
        <sz val="12"/>
        <rFont val="Times New Roman"/>
        <family val="1"/>
      </rPr>
      <t>Осуществление эффективной круглогодичной транспортной доступности в селе Хатанга путем предоставления субсидий на возмещение затрат, связанных с осуществлением перевозки отдельных категорий населения автомобильным транспортом (автобус) в селе Хатанга.</t>
    </r>
  </si>
  <si>
    <r>
      <rPr>
        <b/>
        <sz val="12"/>
        <rFont val="Times New Roman"/>
        <family val="1"/>
      </rPr>
      <t xml:space="preserve">Цель:   </t>
    </r>
    <r>
      <rPr>
        <sz val="12"/>
        <rFont val="Times New Roman"/>
        <family val="1"/>
      </rPr>
      <t>Создание условий для обеспечения жителей услугами торговли</t>
    </r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</si>
  <si>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Повышение уровня доступности услугами торговли в отдаленных, труднодоступных, малочисленных населенных пунктах поселения</t>
    </r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</si>
  <si>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Приведение жилищного фонда и коммунальной инфраструктуры в надлежащее состояние, обеспечивающее комфортные условия проживания граждан  в сельской местности</t>
    </r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</si>
  <si>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Ремонт муниципального жилищного фонда</t>
    </r>
  </si>
  <si>
    <r>
      <rPr>
        <b/>
        <sz val="12"/>
        <rFont val="Times New Roman"/>
        <family val="1"/>
      </rPr>
      <t>Задача 3.</t>
    </r>
    <r>
      <rPr>
        <sz val="12"/>
        <rFont val="Times New Roman"/>
        <family val="1"/>
      </rPr>
      <t xml:space="preserve"> Защита населения и территории поселения от вредного воздействия поверхностных вод, охрана поверхностных водных объектов</t>
    </r>
  </si>
  <si>
    <r>
      <rPr>
        <b/>
        <sz val="12"/>
        <rFont val="Times New Roman"/>
        <family val="1"/>
      </rPr>
      <t>Подпрограмма 3:</t>
    </r>
    <r>
      <rPr>
        <sz val="12"/>
        <rFont val="Times New Roman"/>
        <family val="1"/>
      </rPr>
      <t xml:space="preserve"> Охрана водных ресурсов</t>
    </r>
  </si>
  <si>
    <t>Цель: Приведение жилищного фонда и коммунальной инфраструктуры в надлежащее состояние, обеспечивающее комфортные условия проживания граждан  в сельской местности</t>
  </si>
  <si>
    <t>Задача: Ремонт кровель муниципального жилого фонда</t>
  </si>
  <si>
    <t>Цель: Создание благоприятных, комфортных и культурных условий жизни, трудовой деятельности и досуга населения в границах сельского поселения.</t>
  </si>
  <si>
    <t>Задача 1. Поддержание комплексного благоустройства, создание условий для массового отдыха населения и улучшение экологической обстановки в населенных пунктах поселения.</t>
  </si>
  <si>
    <t>Задача 2. Улучшение технического состояния улично-дорожной сети</t>
  </si>
  <si>
    <t>Задача 3. Защита населения и территории поселения от вредного воздействия поверхностных вод, охрана поверхностных водных объектов</t>
  </si>
  <si>
    <t xml:space="preserve">Задача 4. Приведение в надлежащий вид фасады многоквартирных домов в с. Хатанга </t>
  </si>
  <si>
    <t>Цель: Улучшение качества жизни и благосостояния населения, повышение эффективности использования энергетических ресурсов.</t>
  </si>
  <si>
    <t>Задача 1: Обеспечение доступности бытовых услуг для населения</t>
  </si>
  <si>
    <t>Задача 2: Обеспечение пожарной безопасности и ремонта печного оборудования в жилых помещениях многодетных семей, проживающих в поселках поселения</t>
  </si>
  <si>
    <t>Задача 3: Сокращение расходов на энергообеспечение муниципальных учреждений</t>
  </si>
  <si>
    <t>Задача 4: Изготовление технических  и кадастровых паспортов на электрические сети, используемые в производственной деятельности</t>
  </si>
  <si>
    <t>Задача 5: Замена ртутных светильников  на энергоэффективные светодиодные светильники.</t>
  </si>
  <si>
    <t>Задача 6: Осуществление перехода на  оплату потребления ресурсов горячего и холодного водоснабжения потребителей, проживающих в муниципальном жилом фонде, с учетом индивидуальных приборов учета потребления ресурсов.</t>
  </si>
  <si>
    <t>Задача 7: Выбор оптимального варианта развития водоснабжения и водоотведения и основные рекомендации по развитию системы  водоснабжения и водоотведения с. Хатанга до 2025 года.</t>
  </si>
  <si>
    <t>Задача 8: Разработка  проектно-сметной документации на модернизацию системы с. Хатанга</t>
  </si>
  <si>
    <t>Задача 9: Сокрашение потребления тепловой энергии, холодной воды в многоквартирных домах  до уровня технически и  экономически  обоснованных величин за счет установки коллективных (общедомовых) приборов  учета потребления коммунальных ресурсов</t>
  </si>
  <si>
    <t>Цель: Формирование законопослушного поведения участников дорожного движения на территории сельского поселения Хатанга на 2019-2021 годы</t>
  </si>
  <si>
    <t>Задача:   Предупреждение опасного поведения участников дорожного движения и профилактика дорожно-транспортных происшествий, создание системы профилактических мер, направленных на формирование у участников дорожного движения законопослушного поведения,  снижение детского дорожно-транспортного травматизма и пропаганда безопасности дорожного движения.</t>
  </si>
  <si>
    <t xml:space="preserve">Акция "Национальное подворье" на День Хатанги  (мероприятия, направленные на профилактику молодёжного экстремизма) 
</t>
  </si>
  <si>
    <t>Устройство  гидро- пароизоляции, ветрозащитной пленки Изоспан В</t>
  </si>
  <si>
    <t>Развитие физической культуры и спорта на территории сельского поселения Хатанга</t>
  </si>
  <si>
    <t xml:space="preserve">Организация транспортного обслуживания отдельных категорий населения в селе Хатанга </t>
  </si>
  <si>
    <t>Искусство и народное творчество</t>
  </si>
  <si>
    <t>Культурное наследие</t>
  </si>
  <si>
    <t>Развитие культуры в сельском поселении Хатанга</t>
  </si>
  <si>
    <t xml:space="preserve">Благоустройство территорий сельского поселения Хатанга </t>
  </si>
  <si>
    <t>Комплексное благоустройство территорий сельского поселения Хатанга</t>
  </si>
  <si>
    <t>Улично-дорожная сеть села Хатанга</t>
  </si>
  <si>
    <t>Охрана водных ресурсов</t>
  </si>
  <si>
    <t>Текущий ремон фасадов многоквартирных домов</t>
  </si>
  <si>
    <t>Реформирование и модернизация жилищно-коммунального хозяйства и повышение энергетической эффективности в сельском поселении Хатанга</t>
  </si>
  <si>
    <t>Создание условий для обеспечения населения села Хатанга бытовыми услугами</t>
  </si>
  <si>
    <t>Создание безопасных и комфортных условий проживания граждан в домах с печным отоплением</t>
  </si>
  <si>
    <t>Повышение энергетической эффективности муниципальных учреждений</t>
  </si>
  <si>
    <t>Оформление  права муниципальной собственности на электрические сети</t>
  </si>
  <si>
    <t>Уличное освещение и улучшение условий проживания населения</t>
  </si>
  <si>
    <t>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</t>
  </si>
  <si>
    <t>Разработка  схем водоснабжения и водоотведения</t>
  </si>
  <si>
    <t>Профилактика терроризма и минимизация последствий его проявления в сельском поселении Хатанга</t>
  </si>
  <si>
    <t>Профилактика правонарушений в сельском поселении Хатанга</t>
  </si>
  <si>
    <t>Формирование законопослушного поведения участников дорожного движения на территории сельского поселения Хатанга</t>
  </si>
  <si>
    <t>Поселок-наш дом</t>
  </si>
  <si>
    <t>Поселок-наш дом            II этап</t>
  </si>
  <si>
    <t xml:space="preserve">Мероприятие </t>
  </si>
  <si>
    <t>Организация транспортного обслуживания отдельных категорий населения в селе Хатанга</t>
  </si>
  <si>
    <t>Бензин по доступной цене для населения и сельскохозяйственных предприятий поселков сельского поселения Хатанга</t>
  </si>
  <si>
    <t>Хлеб по доступной цене для населения в с.Хатанга</t>
  </si>
  <si>
    <t>Поселок - наш дом</t>
  </si>
  <si>
    <t xml:space="preserve">Поселок-наш дом              </t>
  </si>
  <si>
    <t xml:space="preserve">Поселок - наш дом - II эпат </t>
  </si>
  <si>
    <t>Оформление права муниципальной собственности на электрические сети</t>
  </si>
  <si>
    <t xml:space="preserve">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 </t>
  </si>
  <si>
    <t>Разработка схем водоснабжения и водоотведения</t>
  </si>
  <si>
    <t xml:space="preserve">Переход на отпуск холодной воды и тепловой энергии потребителям, проживающим в муниципальном жилом фонде, в соответствии с показаниями общедомовых приборов учета </t>
  </si>
  <si>
    <t xml:space="preserve">Профилактика правонарушений в сельском поселении Хатанга </t>
  </si>
  <si>
    <t>Начальник Экономического отдела</t>
  </si>
  <si>
    <t>администрации СП Хатанга</t>
  </si>
  <si>
    <t>Е.И. Коваленко</t>
  </si>
  <si>
    <t xml:space="preserve">Проведение программных мероприятий предусматривает получение субсидии из бюджета краевого значения.  УРИ муниципального района предусмотрена очередность  участия муниципальных образований ТДНМР в конкурсном отборе. Участие СП Хатанга в конкурсном отборе на получение субсидии определено на 2021 год. В целях реализации данной программы в 2019 году, ОМСУ СП Хатанга велась предварительная работа, не требующая финансовых затрат. На 2020 год запланировано формирование и передача земельных участков, образующих дворовую территорию, в состав общего имущества МКД. Это условие является необходимым критерием для получения субсидии на реализацию мероприятий программы. </t>
  </si>
  <si>
    <t>Благоустройство дворовых территорий</t>
  </si>
  <si>
    <t>Благоустройство общественных пространств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</si>
  <si>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Создание наиболее благоприятных и комфортных условий жизнедеятельности населения на территории сельского поселения Хатанга Таймырского Долгано-Ненецкого муниципального района Красноярского края</t>
    </r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</si>
  <si>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Обеспечение формирования единого облика муниципального образования.</t>
    </r>
  </si>
  <si>
    <t>1000000000</t>
  </si>
  <si>
    <t>1000010010</t>
  </si>
  <si>
    <t>Формирование современной сельской среды на 2018-2022 годы 
на территории сельского поселения Хатанга</t>
  </si>
  <si>
    <t>1. Муниципальная программа "Развитие культуры в сельском поселении Хатанга"</t>
  </si>
  <si>
    <t xml:space="preserve">2. Муниципальная программа  "Развитие молодежной политики на территории сельского поселения Хатанга" </t>
  </si>
  <si>
    <t>3. Муниципальная программа "Развитие физической культуры и спорта на территории сельского поселения Хатанга"</t>
  </si>
  <si>
    <t>4. Муниципальная программа "Организация транспортного обслуживания отдельных категорий населения в с.Хатанга"</t>
  </si>
  <si>
    <t>5. Муниципальная программа   "Создание условий для обеспечения жителей сельского поселения Хатанга услугами торговли"</t>
  </si>
  <si>
    <t xml:space="preserve">6. Муниципальная программа "Поселок - наш дом"                                  </t>
  </si>
  <si>
    <t xml:space="preserve">7. Муниципальная программа "Поселок - наш дом. II этап"                                                        </t>
  </si>
  <si>
    <t>8. Муниципальная программа "Благоустройство территорий сельского оселения Хатанга"</t>
  </si>
  <si>
    <t xml:space="preserve">9. Муниципальная программа "Реформирование и модернизация жилищно-коммунального хозяйства и повышение энергетической эффективности в сельском поселении Хатанга" </t>
  </si>
  <si>
    <t xml:space="preserve">10. Муниципальная программа «Профилактика правонарушений в сельском поселении Хатанга» </t>
  </si>
  <si>
    <t xml:space="preserve">11. Муниципальная программа «Профилактика терроризма и минимизация последствий его проявления в сельском поселении Хатанга» </t>
  </si>
  <si>
    <t xml:space="preserve">12. Муниципальная программа «Формирование законопослушного поведения участников дорожного движения на территории сельского поселения Хатанга» </t>
  </si>
  <si>
    <t xml:space="preserve">13. Муниципальная программа "Формирование современной сельской среды на 2018-2022 годы на территории сельского поселения Хатанга"  </t>
  </si>
  <si>
    <t>1. Муниципальная программа</t>
  </si>
  <si>
    <t>2. Муниципальная программа</t>
  </si>
  <si>
    <t>3. Муниципальная программа</t>
  </si>
  <si>
    <t>4. Муниципальная программа</t>
  </si>
  <si>
    <t>5. Муниципальная программа</t>
  </si>
  <si>
    <t>6. Муниципальная программа</t>
  </si>
  <si>
    <t>7. Муниципальная программа</t>
  </si>
  <si>
    <t>8. Муниципальная программа</t>
  </si>
  <si>
    <t>9. Муниципальная программа</t>
  </si>
  <si>
    <t>10. Муниципальная программа</t>
  </si>
  <si>
    <t>11. Муниципальная программа</t>
  </si>
  <si>
    <t>12. Муниципальная программа</t>
  </si>
  <si>
    <t>13. Муниципальная программа</t>
  </si>
  <si>
    <t>Формирование современной сельской среды на 2018-2022 годы на территории сельского поселения Хатанга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</si>
</sst>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  <numFmt numFmtId="180" formatCode="0.0000"/>
    <numFmt numFmtId="181" formatCode="0.000000"/>
    <numFmt numFmtId="182" formatCode="#,##0.000"/>
    <numFmt numFmtId="183" formatCode="#,##0.00\ &quot;₽&quot;"/>
  </numFmts>
  <fonts count="6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6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76;&#1086;&#1082;&#1091;&#1084;&#1077;&#1085;&#1090;&#1099;\&#1052;&#1059;&#1053;&#1048;&#1062;&#1048;&#1055;&#1040;&#1051;&#1068;&#1053;&#1067;&#1045;%20&#1055;&#1056;&#1054;&#1043;&#1056;&#1040;&#1052;&#1052;&#1067;\&#1054;&#1090;&#1095;&#1077;&#1090;&#1099;\2017\&#1046;&#1050;&#1061;%20&#1086;&#1090;&#1095;&#1077;&#1090;&#1099;\&#1054;&#1090;&#1095;&#1077;&#1090;%20&#1087;&#1086;%20&#1087;&#1088;&#1086;&#1075;&#1088;&#1072;&#1084;&#1084;&#1077;%20&#1056;&#1077;&#1092;&#1086;&#1088;&#1084;&#1080;&#1088;&#1086;&#1074;&#1072;&#1085;&#1080;&#1077;%20&#1079;&#1072;%202017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082;&#1086;&#1085;&#1086;&#1084;\&#1079;&#1072;&#1082;&#1086;&#1085;&#1086;&#1087;&#1086;&#1089;&#1083;&#1091;&#1096;&#1085;&#1086;&#1077;%20&#1087;&#1086;&#1074;&#1077;&#1076;&#1077;&#1085;&#1080;&#1077;%20&#1075;&#1088;&#1072;&#1078;&#1076;&#1072;&#1085;%20&#1085;&#1072;%20&#1076;&#1086;&#1088;&#1086;&#1075;&#1072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%20&#1087;&#1086;%20&#1084;&#1091;&#1085;&#1080;&#1094;&#1080;&#1087;&#1072;&#1083;&#1100;&#1085;&#1099;&#1084;%20&#1087;&#1088;&#1086;&#1075;&#1088;&#1072;&#1084;&#1084;&#1072;&#1084;%20&#1046;&#1050;&#1061;\&#1052;&#1055;%20&#1055;&#1086;&#1089;&#1077;&#1083;&#1086;&#1082;-&#1085;&#1072;&#1096;%20&#1076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%20&#1087;&#1086;%20&#1084;&#1091;&#1085;&#1080;&#1094;&#1080;&#1087;&#1072;&#1083;&#1100;&#1085;&#1099;&#1084;%20&#1087;&#1088;&#1086;&#1075;&#1088;&#1072;&#1084;&#1084;&#1072;&#1084;%20&#1046;&#1050;&#1061;\&#1054;&#1090;&#1095;&#1077;&#1090;%20&#1087;&#1086;%20&#1087;&#1088;&#1086;&#1075;&#1088;&#1072;&#1084;&#1084;&#1077;%20&#1041;&#1083;&#1072;&#1075;&#1086;&#1091;&#1089;&#1090;&#1088;&#1086;&#1081;&#1089;&#1090;&#1074;&#1086;%20&#1079;&#1072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%20&#1087;&#1086;%20&#1084;&#1091;&#1085;&#1080;&#1094;&#1080;&#1087;&#1072;&#1083;&#1100;&#1085;&#1099;&#1084;%20&#1087;&#1088;&#1086;&#1075;&#1088;&#1072;&#1084;&#1084;&#1072;&#1084;%20&#1046;&#1050;&#1061;\&#1052;&#1055;%20&#1050;&#1086;&#1084;&#1092;&#1086;&#1088;&#1090;&#1085;&#1072;&#1103;%20&#1089;&#1088;&#1077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  <sheetDataSet>
      <sheetData sheetId="1">
        <row r="25">
          <cell r="B25" t="str">
            <v>Приобретение и установка уличного баннера</v>
          </cell>
        </row>
        <row r="28">
          <cell r="B28" t="str">
            <v>Приобретение и установка уличного баннера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  <sheetName val="9 КАИ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 показатели "/>
      <sheetName val="7 средства по кодам"/>
      <sheetName val="8 средства 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view="pageBreakPreview" zoomScaleSheetLayoutView="100" workbookViewId="0" topLeftCell="A1">
      <selection activeCell="U9" sqref="U9"/>
    </sheetView>
  </sheetViews>
  <sheetFormatPr defaultColWidth="9.00390625" defaultRowHeight="12.75"/>
  <cols>
    <col min="1" max="1" width="7.875" style="72" customWidth="1"/>
    <col min="2" max="2" width="23.625" style="25" customWidth="1"/>
    <col min="3" max="3" width="5.875" style="22" customWidth="1"/>
    <col min="4" max="4" width="8.625" style="63" customWidth="1"/>
    <col min="5" max="5" width="7.625" style="63" customWidth="1"/>
    <col min="6" max="7" width="6.625" style="63" customWidth="1"/>
    <col min="8" max="11" width="6.25390625" style="63" customWidth="1"/>
    <col min="12" max="12" width="6.875" style="63" customWidth="1"/>
    <col min="13" max="13" width="6.625" style="63" customWidth="1"/>
    <col min="14" max="17" width="6.25390625" style="63" customWidth="1"/>
    <col min="18" max="18" width="21.375" style="24" customWidth="1"/>
    <col min="19" max="16384" width="9.125" style="37" customWidth="1"/>
  </cols>
  <sheetData>
    <row r="1" spans="1:18" ht="28.5" customHeight="1">
      <c r="A1" s="172" t="s">
        <v>162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s="24" customFormat="1" ht="36.75" customHeight="1">
      <c r="A2" s="152" t="s">
        <v>0</v>
      </c>
      <c r="B2" s="157" t="s">
        <v>1</v>
      </c>
      <c r="C2" s="152" t="s">
        <v>12</v>
      </c>
      <c r="D2" s="152" t="s">
        <v>15</v>
      </c>
      <c r="E2" s="152" t="s">
        <v>16</v>
      </c>
      <c r="F2" s="152"/>
      <c r="G2" s="152"/>
      <c r="H2" s="152">
        <v>2019</v>
      </c>
      <c r="I2" s="152"/>
      <c r="J2" s="152"/>
      <c r="K2" s="152"/>
      <c r="L2" s="152"/>
      <c r="M2" s="152"/>
      <c r="N2" s="152"/>
      <c r="O2" s="152"/>
      <c r="P2" s="152" t="s">
        <v>2</v>
      </c>
      <c r="Q2" s="152"/>
      <c r="R2" s="152" t="s">
        <v>6</v>
      </c>
    </row>
    <row r="3" spans="1:18" s="24" customFormat="1" ht="27.75" customHeight="1">
      <c r="A3" s="152"/>
      <c r="B3" s="157"/>
      <c r="C3" s="152"/>
      <c r="D3" s="152"/>
      <c r="E3" s="15">
        <v>2017</v>
      </c>
      <c r="F3" s="152">
        <v>2018</v>
      </c>
      <c r="G3" s="152"/>
      <c r="H3" s="152" t="s">
        <v>5</v>
      </c>
      <c r="I3" s="152"/>
      <c r="J3" s="152" t="s">
        <v>13</v>
      </c>
      <c r="K3" s="152"/>
      <c r="L3" s="152" t="s">
        <v>14</v>
      </c>
      <c r="M3" s="152"/>
      <c r="N3" s="152" t="s">
        <v>17</v>
      </c>
      <c r="O3" s="152"/>
      <c r="P3" s="152">
        <v>2020</v>
      </c>
      <c r="Q3" s="152">
        <v>2021</v>
      </c>
      <c r="R3" s="152"/>
    </row>
    <row r="4" spans="1:18" s="24" customFormat="1" ht="22.5" customHeight="1">
      <c r="A4" s="152"/>
      <c r="B4" s="157"/>
      <c r="C4" s="152"/>
      <c r="D4" s="152"/>
      <c r="E4" s="15" t="s">
        <v>4</v>
      </c>
      <c r="F4" s="15" t="s">
        <v>3</v>
      </c>
      <c r="G4" s="15" t="s">
        <v>4</v>
      </c>
      <c r="H4" s="15" t="s">
        <v>3</v>
      </c>
      <c r="I4" s="15" t="s">
        <v>4</v>
      </c>
      <c r="J4" s="15" t="s">
        <v>3</v>
      </c>
      <c r="K4" s="15" t="s">
        <v>4</v>
      </c>
      <c r="L4" s="15" t="s">
        <v>3</v>
      </c>
      <c r="M4" s="15" t="s">
        <v>4</v>
      </c>
      <c r="N4" s="15" t="s">
        <v>3</v>
      </c>
      <c r="O4" s="15" t="s">
        <v>4</v>
      </c>
      <c r="P4" s="152"/>
      <c r="Q4" s="152"/>
      <c r="R4" s="152"/>
    </row>
    <row r="5" spans="1:18" s="63" customFormat="1" ht="22.5" customHeight="1">
      <c r="A5" s="147" t="s">
        <v>713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ht="14.25" customHeight="1">
      <c r="A6" s="49"/>
      <c r="B6" s="156" t="s">
        <v>62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5.75">
      <c r="A7" s="34">
        <v>1</v>
      </c>
      <c r="B7" s="156" t="s">
        <v>63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5.75">
      <c r="A8" s="43" t="s">
        <v>64</v>
      </c>
      <c r="B8" s="155" t="s">
        <v>103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8" ht="75.75" customHeight="1">
      <c r="A9" s="43" t="s">
        <v>65</v>
      </c>
      <c r="B9" s="35" t="s">
        <v>96</v>
      </c>
      <c r="C9" s="15" t="s">
        <v>77</v>
      </c>
      <c r="D9" s="34"/>
      <c r="E9" s="34">
        <v>95</v>
      </c>
      <c r="F9" s="34">
        <v>97</v>
      </c>
      <c r="G9" s="34">
        <v>97</v>
      </c>
      <c r="H9" s="34">
        <v>85</v>
      </c>
      <c r="I9" s="34">
        <v>85</v>
      </c>
      <c r="J9" s="34">
        <v>90</v>
      </c>
      <c r="K9" s="34">
        <v>90</v>
      </c>
      <c r="L9" s="34">
        <v>95</v>
      </c>
      <c r="M9" s="34">
        <v>95</v>
      </c>
      <c r="N9" s="34">
        <v>97</v>
      </c>
      <c r="O9" s="34">
        <v>97</v>
      </c>
      <c r="P9" s="34">
        <v>97</v>
      </c>
      <c r="Q9" s="34">
        <v>97</v>
      </c>
      <c r="R9" s="15"/>
    </row>
    <row r="10" spans="1:18" ht="92.25" customHeight="1">
      <c r="A10" s="43" t="s">
        <v>66</v>
      </c>
      <c r="B10" s="35" t="s">
        <v>97</v>
      </c>
      <c r="C10" s="15" t="s">
        <v>77</v>
      </c>
      <c r="D10" s="34"/>
      <c r="E10" s="34">
        <v>85</v>
      </c>
      <c r="F10" s="34">
        <v>90</v>
      </c>
      <c r="G10" s="34">
        <v>90</v>
      </c>
      <c r="H10" s="34">
        <v>84</v>
      </c>
      <c r="I10" s="34">
        <v>84</v>
      </c>
      <c r="J10" s="34">
        <v>85</v>
      </c>
      <c r="K10" s="34">
        <v>85</v>
      </c>
      <c r="L10" s="34">
        <v>87</v>
      </c>
      <c r="M10" s="34">
        <v>87</v>
      </c>
      <c r="N10" s="34">
        <v>92</v>
      </c>
      <c r="O10" s="34">
        <v>92</v>
      </c>
      <c r="P10" s="34">
        <v>92</v>
      </c>
      <c r="Q10" s="34">
        <v>92</v>
      </c>
      <c r="R10" s="15"/>
    </row>
    <row r="11" spans="1:18" ht="39">
      <c r="A11" s="43" t="s">
        <v>67</v>
      </c>
      <c r="B11" s="35" t="s">
        <v>98</v>
      </c>
      <c r="C11" s="15" t="s">
        <v>78</v>
      </c>
      <c r="D11" s="34">
        <v>0.02</v>
      </c>
      <c r="E11" s="34">
        <v>4</v>
      </c>
      <c r="F11" s="34">
        <v>4</v>
      </c>
      <c r="G11" s="34">
        <v>4</v>
      </c>
      <c r="H11" s="34">
        <v>1</v>
      </c>
      <c r="I11" s="34">
        <v>1</v>
      </c>
      <c r="J11" s="34">
        <v>2</v>
      </c>
      <c r="K11" s="34">
        <v>2</v>
      </c>
      <c r="L11" s="34">
        <v>3</v>
      </c>
      <c r="M11" s="34">
        <v>3</v>
      </c>
      <c r="N11" s="34">
        <v>4</v>
      </c>
      <c r="O11" s="34">
        <v>4</v>
      </c>
      <c r="P11" s="34">
        <v>4</v>
      </c>
      <c r="Q11" s="34">
        <v>4</v>
      </c>
      <c r="R11" s="15"/>
    </row>
    <row r="12" spans="1:18" ht="37.5" customHeight="1">
      <c r="A12" s="43" t="s">
        <v>68</v>
      </c>
      <c r="B12" s="35" t="s">
        <v>99</v>
      </c>
      <c r="C12" s="15" t="s">
        <v>78</v>
      </c>
      <c r="D12" s="34"/>
      <c r="E12" s="34">
        <v>3</v>
      </c>
      <c r="F12" s="34">
        <v>3</v>
      </c>
      <c r="G12" s="34">
        <v>3</v>
      </c>
      <c r="H12" s="34">
        <v>1</v>
      </c>
      <c r="I12" s="34">
        <v>1</v>
      </c>
      <c r="J12" s="34">
        <v>2</v>
      </c>
      <c r="K12" s="34">
        <v>2</v>
      </c>
      <c r="L12" s="34">
        <v>3</v>
      </c>
      <c r="M12" s="34">
        <v>3</v>
      </c>
      <c r="N12" s="34">
        <v>3</v>
      </c>
      <c r="O12" s="34">
        <v>3</v>
      </c>
      <c r="P12" s="34">
        <v>1</v>
      </c>
      <c r="Q12" s="34">
        <v>2</v>
      </c>
      <c r="R12" s="15"/>
    </row>
    <row r="13" spans="1:18" ht="93" customHeight="1">
      <c r="A13" s="43" t="s">
        <v>69</v>
      </c>
      <c r="B13" s="35" t="s">
        <v>139</v>
      </c>
      <c r="C13" s="15" t="s">
        <v>81</v>
      </c>
      <c r="D13" s="34">
        <v>0.04</v>
      </c>
      <c r="E13" s="34">
        <v>14</v>
      </c>
      <c r="F13" s="34">
        <v>14</v>
      </c>
      <c r="G13" s="34">
        <v>14</v>
      </c>
      <c r="H13" s="34">
        <v>13</v>
      </c>
      <c r="I13" s="34">
        <v>13</v>
      </c>
      <c r="J13" s="34">
        <v>13.5</v>
      </c>
      <c r="K13" s="34">
        <v>13.5</v>
      </c>
      <c r="L13" s="34">
        <v>14</v>
      </c>
      <c r="M13" s="34">
        <v>14</v>
      </c>
      <c r="N13" s="34">
        <v>14</v>
      </c>
      <c r="O13" s="34">
        <v>14</v>
      </c>
      <c r="P13" s="34">
        <v>14</v>
      </c>
      <c r="Q13" s="34">
        <v>14.5</v>
      </c>
      <c r="R13" s="15"/>
    </row>
    <row r="14" spans="1:18" ht="104.25" customHeight="1">
      <c r="A14" s="43" t="s">
        <v>70</v>
      </c>
      <c r="B14" s="35" t="s">
        <v>100</v>
      </c>
      <c r="C14" s="15" t="s">
        <v>80</v>
      </c>
      <c r="D14" s="34">
        <v>0.02</v>
      </c>
      <c r="E14" s="34">
        <v>250</v>
      </c>
      <c r="F14" s="34">
        <v>250</v>
      </c>
      <c r="G14" s="34">
        <v>250</v>
      </c>
      <c r="H14" s="34">
        <v>100</v>
      </c>
      <c r="I14" s="34">
        <v>0</v>
      </c>
      <c r="J14" s="34">
        <v>200</v>
      </c>
      <c r="K14" s="34">
        <v>0</v>
      </c>
      <c r="L14" s="34">
        <v>250</v>
      </c>
      <c r="M14" s="34">
        <v>0</v>
      </c>
      <c r="N14" s="34">
        <v>250</v>
      </c>
      <c r="O14" s="34">
        <v>250</v>
      </c>
      <c r="P14" s="34">
        <v>200</v>
      </c>
      <c r="Q14" s="34">
        <v>250</v>
      </c>
      <c r="R14" s="15"/>
    </row>
    <row r="15" spans="1:18" ht="30.75" customHeight="1">
      <c r="A15" s="43" t="s">
        <v>71</v>
      </c>
      <c r="B15" s="35" t="s">
        <v>101</v>
      </c>
      <c r="C15" s="15" t="s">
        <v>112</v>
      </c>
      <c r="D15" s="34">
        <v>0.02</v>
      </c>
      <c r="E15" s="34">
        <v>19.2</v>
      </c>
      <c r="F15" s="34">
        <v>19.3</v>
      </c>
      <c r="G15" s="34">
        <v>19.3</v>
      </c>
      <c r="H15" s="34">
        <v>19.2</v>
      </c>
      <c r="I15" s="34">
        <v>19.2</v>
      </c>
      <c r="J15" s="34">
        <v>19.1</v>
      </c>
      <c r="K15" s="34">
        <v>19.1</v>
      </c>
      <c r="L15" s="34">
        <v>19.3</v>
      </c>
      <c r="M15" s="34">
        <v>19.3</v>
      </c>
      <c r="N15" s="34">
        <v>19.4</v>
      </c>
      <c r="O15" s="34">
        <v>19.4</v>
      </c>
      <c r="P15" s="34">
        <v>19</v>
      </c>
      <c r="Q15" s="34">
        <v>19</v>
      </c>
      <c r="R15" s="15"/>
    </row>
    <row r="16" spans="1:18" ht="39">
      <c r="A16" s="43" t="s">
        <v>72</v>
      </c>
      <c r="B16" s="35" t="s">
        <v>75</v>
      </c>
      <c r="C16" s="15" t="s">
        <v>78</v>
      </c>
      <c r="D16" s="34">
        <v>0.04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4">
        <v>10</v>
      </c>
      <c r="N16" s="34">
        <v>10</v>
      </c>
      <c r="O16" s="34">
        <v>10</v>
      </c>
      <c r="P16" s="34">
        <v>10</v>
      </c>
      <c r="Q16" s="34">
        <v>10</v>
      </c>
      <c r="R16" s="15"/>
    </row>
    <row r="17" spans="1:18" ht="51.75">
      <c r="A17" s="43" t="s">
        <v>73</v>
      </c>
      <c r="B17" s="35" t="s">
        <v>76</v>
      </c>
      <c r="C17" s="15" t="s">
        <v>81</v>
      </c>
      <c r="D17" s="34">
        <v>0.02</v>
      </c>
      <c r="E17" s="34">
        <v>0.3</v>
      </c>
      <c r="F17" s="34">
        <v>0.31</v>
      </c>
      <c r="G17" s="34">
        <v>0.31</v>
      </c>
      <c r="H17" s="34">
        <v>0.3</v>
      </c>
      <c r="I17" s="34">
        <v>0.3</v>
      </c>
      <c r="J17" s="34">
        <v>0.3</v>
      </c>
      <c r="K17" s="34">
        <v>0.3</v>
      </c>
      <c r="L17" s="34">
        <v>0.3</v>
      </c>
      <c r="M17" s="34">
        <v>0.3</v>
      </c>
      <c r="N17" s="34">
        <v>0.31</v>
      </c>
      <c r="O17" s="34">
        <v>0.31</v>
      </c>
      <c r="P17" s="34">
        <v>0.33</v>
      </c>
      <c r="Q17" s="34">
        <v>0.33</v>
      </c>
      <c r="R17" s="15"/>
    </row>
    <row r="18" spans="1:18" ht="77.25">
      <c r="A18" s="43" t="s">
        <v>74</v>
      </c>
      <c r="B18" s="35" t="s">
        <v>110</v>
      </c>
      <c r="C18" s="15" t="s">
        <v>77</v>
      </c>
      <c r="D18" s="34"/>
      <c r="E18" s="34">
        <v>36</v>
      </c>
      <c r="F18" s="34">
        <v>36</v>
      </c>
      <c r="G18" s="34">
        <v>36</v>
      </c>
      <c r="H18" s="34">
        <v>36</v>
      </c>
      <c r="I18" s="34">
        <v>36</v>
      </c>
      <c r="J18" s="34">
        <v>36</v>
      </c>
      <c r="K18" s="34">
        <v>36</v>
      </c>
      <c r="L18" s="34">
        <v>36</v>
      </c>
      <c r="M18" s="34">
        <v>36</v>
      </c>
      <c r="N18" s="34">
        <v>36</v>
      </c>
      <c r="O18" s="34">
        <v>36</v>
      </c>
      <c r="P18" s="34">
        <v>47.5</v>
      </c>
      <c r="Q18" s="34">
        <v>48</v>
      </c>
      <c r="R18" s="15"/>
    </row>
    <row r="19" spans="1:18" ht="15.75">
      <c r="A19" s="43" t="s">
        <v>90</v>
      </c>
      <c r="B19" s="155" t="s">
        <v>102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</row>
    <row r="20" spans="1:18" ht="78.75" customHeight="1">
      <c r="A20" s="43" t="s">
        <v>91</v>
      </c>
      <c r="B20" s="35" t="s">
        <v>111</v>
      </c>
      <c r="C20" s="15" t="s">
        <v>79</v>
      </c>
      <c r="D20" s="34"/>
      <c r="E20" s="34">
        <v>150</v>
      </c>
      <c r="F20" s="34">
        <v>140</v>
      </c>
      <c r="G20" s="34">
        <v>151</v>
      </c>
      <c r="H20" s="34">
        <v>140</v>
      </c>
      <c r="I20" s="34">
        <v>140</v>
      </c>
      <c r="J20" s="34">
        <v>140</v>
      </c>
      <c r="K20" s="34">
        <v>151</v>
      </c>
      <c r="L20" s="34">
        <v>140</v>
      </c>
      <c r="M20" s="34">
        <v>145</v>
      </c>
      <c r="N20" s="34">
        <v>140</v>
      </c>
      <c r="O20" s="34">
        <v>140</v>
      </c>
      <c r="P20" s="34">
        <v>162</v>
      </c>
      <c r="Q20" s="34">
        <v>170</v>
      </c>
      <c r="R20" s="15"/>
    </row>
    <row r="21" spans="1:18" ht="40.5" customHeight="1">
      <c r="A21" s="43" t="s">
        <v>92</v>
      </c>
      <c r="B21" s="35" t="s">
        <v>94</v>
      </c>
      <c r="C21" s="15" t="s">
        <v>78</v>
      </c>
      <c r="D21" s="34"/>
      <c r="E21" s="34">
        <v>5</v>
      </c>
      <c r="F21" s="34">
        <v>5</v>
      </c>
      <c r="G21" s="34">
        <v>5</v>
      </c>
      <c r="H21" s="34">
        <v>5</v>
      </c>
      <c r="I21" s="34">
        <v>5</v>
      </c>
      <c r="J21" s="34">
        <v>5</v>
      </c>
      <c r="K21" s="34">
        <v>5</v>
      </c>
      <c r="L21" s="34">
        <v>5</v>
      </c>
      <c r="M21" s="34">
        <v>5</v>
      </c>
      <c r="N21" s="34">
        <v>5</v>
      </c>
      <c r="O21" s="34">
        <v>5</v>
      </c>
      <c r="P21" s="34">
        <v>8</v>
      </c>
      <c r="Q21" s="34">
        <v>9</v>
      </c>
      <c r="R21" s="15"/>
    </row>
    <row r="22" spans="1:18" ht="39" customHeight="1">
      <c r="A22" s="43" t="s">
        <v>93</v>
      </c>
      <c r="B22" s="35" t="s">
        <v>95</v>
      </c>
      <c r="C22" s="15" t="s">
        <v>79</v>
      </c>
      <c r="D22" s="34"/>
      <c r="E22" s="34">
        <v>8</v>
      </c>
      <c r="F22" s="34">
        <v>8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8</v>
      </c>
      <c r="O22" s="34">
        <v>8</v>
      </c>
      <c r="P22" s="34">
        <v>3</v>
      </c>
      <c r="Q22" s="34">
        <v>6</v>
      </c>
      <c r="R22" s="15"/>
    </row>
    <row r="23" spans="1:18" ht="15.75" customHeight="1">
      <c r="A23" s="147" t="s">
        <v>714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73" customFormat="1" ht="20.25" customHeight="1">
      <c r="A24" s="34"/>
      <c r="B24" s="153" t="s">
        <v>632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s="73" customFormat="1" ht="15.75">
      <c r="A25" s="34">
        <v>1</v>
      </c>
      <c r="B25" s="154" t="s">
        <v>633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</row>
    <row r="26" spans="1:18" ht="81" customHeight="1">
      <c r="A26" s="34" t="s">
        <v>164</v>
      </c>
      <c r="B26" s="35" t="s">
        <v>513</v>
      </c>
      <c r="C26" s="15" t="s">
        <v>77</v>
      </c>
      <c r="D26" s="34"/>
      <c r="E26" s="74">
        <v>21</v>
      </c>
      <c r="F26" s="74">
        <v>21</v>
      </c>
      <c r="G26" s="74">
        <v>22</v>
      </c>
      <c r="H26" s="34">
        <v>7</v>
      </c>
      <c r="I26" s="34">
        <v>5</v>
      </c>
      <c r="J26" s="34">
        <v>12</v>
      </c>
      <c r="K26" s="34">
        <v>9</v>
      </c>
      <c r="L26" s="34">
        <v>16</v>
      </c>
      <c r="M26" s="34">
        <v>13</v>
      </c>
      <c r="N26" s="75">
        <v>22</v>
      </c>
      <c r="O26" s="34">
        <v>22</v>
      </c>
      <c r="P26" s="76">
        <v>25.7</v>
      </c>
      <c r="Q26" s="76">
        <v>27</v>
      </c>
      <c r="R26" s="15"/>
    </row>
    <row r="27" spans="1:18" ht="15.75" customHeight="1">
      <c r="A27" s="34" t="s">
        <v>165</v>
      </c>
      <c r="B27" s="154" t="s">
        <v>634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1:18" ht="69" customHeight="1">
      <c r="A28" s="34" t="s">
        <v>166</v>
      </c>
      <c r="B28" s="35" t="s">
        <v>514</v>
      </c>
      <c r="C28" s="15" t="s">
        <v>78</v>
      </c>
      <c r="D28" s="34"/>
      <c r="E28" s="34">
        <v>8</v>
      </c>
      <c r="F28" s="34">
        <v>10</v>
      </c>
      <c r="G28" s="34">
        <v>7</v>
      </c>
      <c r="H28" s="34">
        <v>0</v>
      </c>
      <c r="I28" s="34">
        <v>0</v>
      </c>
      <c r="J28" s="34">
        <v>1</v>
      </c>
      <c r="K28" s="34">
        <v>3</v>
      </c>
      <c r="L28" s="34">
        <v>6</v>
      </c>
      <c r="M28" s="34">
        <v>4</v>
      </c>
      <c r="N28" s="34">
        <v>8</v>
      </c>
      <c r="O28" s="34">
        <v>8</v>
      </c>
      <c r="P28" s="34">
        <v>19</v>
      </c>
      <c r="Q28" s="34">
        <v>22</v>
      </c>
      <c r="R28" s="15"/>
    </row>
    <row r="29" spans="1:18" ht="15.75" customHeight="1">
      <c r="A29" s="34" t="s">
        <v>167</v>
      </c>
      <c r="B29" s="158" t="s">
        <v>635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</row>
    <row r="30" spans="1:18" s="55" customFormat="1" ht="102">
      <c r="A30" s="34" t="s">
        <v>168</v>
      </c>
      <c r="B30" s="19" t="s">
        <v>515</v>
      </c>
      <c r="C30" s="15" t="s">
        <v>77</v>
      </c>
      <c r="D30" s="34"/>
      <c r="E30" s="74">
        <v>38.4</v>
      </c>
      <c r="F30" s="74">
        <v>24</v>
      </c>
      <c r="G30" s="74">
        <v>22</v>
      </c>
      <c r="H30" s="34">
        <v>0</v>
      </c>
      <c r="I30" s="34">
        <v>0</v>
      </c>
      <c r="J30" s="34">
        <v>8</v>
      </c>
      <c r="K30" s="34">
        <v>5</v>
      </c>
      <c r="L30" s="34">
        <v>20</v>
      </c>
      <c r="M30" s="34">
        <v>18</v>
      </c>
      <c r="N30" s="34">
        <v>31.2</v>
      </c>
      <c r="O30" s="34">
        <v>31.2</v>
      </c>
      <c r="P30" s="34">
        <v>29</v>
      </c>
      <c r="Q30" s="34">
        <v>31</v>
      </c>
      <c r="R30" s="15"/>
    </row>
    <row r="31" spans="1:18" s="77" customFormat="1" ht="18.75" customHeight="1">
      <c r="A31" s="147" t="s">
        <v>715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s="73" customFormat="1" ht="53.25" customHeight="1">
      <c r="A32" s="34"/>
      <c r="B32" s="159" t="s">
        <v>176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</row>
    <row r="33" spans="1:18" s="73" customFormat="1" ht="39.75" customHeight="1">
      <c r="A33" s="49" t="s">
        <v>188</v>
      </c>
      <c r="B33" s="158" t="s">
        <v>636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18" s="73" customFormat="1" ht="87.75" customHeight="1">
      <c r="A34" s="34" t="s">
        <v>164</v>
      </c>
      <c r="B34" s="19" t="s">
        <v>177</v>
      </c>
      <c r="C34" s="15" t="s">
        <v>77</v>
      </c>
      <c r="D34" s="34"/>
      <c r="E34" s="74">
        <v>15</v>
      </c>
      <c r="F34" s="74">
        <v>17</v>
      </c>
      <c r="G34" s="74">
        <v>17.5</v>
      </c>
      <c r="H34" s="74">
        <v>15</v>
      </c>
      <c r="I34" s="74">
        <v>14.5</v>
      </c>
      <c r="J34" s="74">
        <v>16.5</v>
      </c>
      <c r="K34" s="74">
        <v>16</v>
      </c>
      <c r="L34" s="74">
        <v>17</v>
      </c>
      <c r="M34" s="74">
        <v>17</v>
      </c>
      <c r="N34" s="74">
        <v>17</v>
      </c>
      <c r="O34" s="74">
        <v>17</v>
      </c>
      <c r="P34" s="74">
        <v>20</v>
      </c>
      <c r="Q34" s="74">
        <v>21</v>
      </c>
      <c r="R34" s="15"/>
    </row>
    <row r="35" spans="1:18" ht="15.75" customHeight="1">
      <c r="A35" s="49" t="s">
        <v>165</v>
      </c>
      <c r="B35" s="158" t="s">
        <v>178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ht="76.5">
      <c r="A36" s="34" t="s">
        <v>166</v>
      </c>
      <c r="B36" s="19" t="s">
        <v>179</v>
      </c>
      <c r="C36" s="15" t="s">
        <v>78</v>
      </c>
      <c r="D36" s="34"/>
      <c r="E36" s="74">
        <v>39</v>
      </c>
      <c r="F36" s="74">
        <v>39</v>
      </c>
      <c r="G36" s="74">
        <v>21</v>
      </c>
      <c r="H36" s="74">
        <v>18</v>
      </c>
      <c r="I36" s="74">
        <v>14</v>
      </c>
      <c r="J36" s="74">
        <v>32</v>
      </c>
      <c r="K36" s="74">
        <v>18</v>
      </c>
      <c r="L36" s="74">
        <v>35</v>
      </c>
      <c r="M36" s="74">
        <v>21</v>
      </c>
      <c r="N36" s="74">
        <v>40</v>
      </c>
      <c r="O36" s="74">
        <v>38</v>
      </c>
      <c r="P36" s="74">
        <v>41</v>
      </c>
      <c r="Q36" s="74">
        <v>41</v>
      </c>
      <c r="R36" s="15"/>
    </row>
    <row r="37" spans="1:18" ht="38.25">
      <c r="A37" s="43" t="s">
        <v>547</v>
      </c>
      <c r="B37" s="19" t="s">
        <v>180</v>
      </c>
      <c r="C37" s="15" t="s">
        <v>78</v>
      </c>
      <c r="D37" s="34"/>
      <c r="E37" s="74">
        <v>19</v>
      </c>
      <c r="F37" s="74">
        <v>20</v>
      </c>
      <c r="G37" s="74">
        <v>15</v>
      </c>
      <c r="H37" s="74">
        <v>2</v>
      </c>
      <c r="I37" s="74">
        <v>2</v>
      </c>
      <c r="J37" s="74">
        <v>14</v>
      </c>
      <c r="K37" s="74">
        <v>5</v>
      </c>
      <c r="L37" s="74">
        <v>19</v>
      </c>
      <c r="M37" s="74">
        <v>8</v>
      </c>
      <c r="N37" s="74">
        <v>20</v>
      </c>
      <c r="O37" s="74">
        <v>18</v>
      </c>
      <c r="P37" s="74">
        <v>21</v>
      </c>
      <c r="Q37" s="74">
        <v>21</v>
      </c>
      <c r="R37" s="15"/>
    </row>
    <row r="38" spans="1:18" ht="68.25" customHeight="1">
      <c r="A38" s="34" t="s">
        <v>167</v>
      </c>
      <c r="B38" s="19" t="s">
        <v>181</v>
      </c>
      <c r="C38" s="15" t="s">
        <v>182</v>
      </c>
      <c r="D38" s="34"/>
      <c r="E38" s="34">
        <v>860</v>
      </c>
      <c r="F38" s="34">
        <v>860</v>
      </c>
      <c r="G38" s="34">
        <v>735</v>
      </c>
      <c r="H38" s="34">
        <v>215</v>
      </c>
      <c r="I38" s="34">
        <v>215</v>
      </c>
      <c r="J38" s="34">
        <v>580</v>
      </c>
      <c r="K38" s="34">
        <v>420</v>
      </c>
      <c r="L38" s="34">
        <v>780</v>
      </c>
      <c r="M38" s="34">
        <v>502</v>
      </c>
      <c r="N38" s="34">
        <v>875</v>
      </c>
      <c r="O38" s="34">
        <v>862</v>
      </c>
      <c r="P38" s="34">
        <v>1070</v>
      </c>
      <c r="Q38" s="34">
        <v>1140</v>
      </c>
      <c r="R38" s="15"/>
    </row>
    <row r="39" spans="1:18" ht="15.75">
      <c r="A39" s="49"/>
      <c r="B39" s="158" t="s">
        <v>637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</row>
    <row r="40" spans="1:18" ht="86.25" customHeight="1">
      <c r="A40" s="34">
        <v>4</v>
      </c>
      <c r="B40" s="19" t="s">
        <v>183</v>
      </c>
      <c r="C40" s="15" t="s">
        <v>77</v>
      </c>
      <c r="D40" s="34"/>
      <c r="E40" s="34">
        <v>0</v>
      </c>
      <c r="F40" s="34">
        <v>0</v>
      </c>
      <c r="G40" s="34">
        <v>1</v>
      </c>
      <c r="H40" s="34">
        <v>0</v>
      </c>
      <c r="I40" s="34">
        <v>0</v>
      </c>
      <c r="J40" s="34">
        <v>0</v>
      </c>
      <c r="K40" s="34">
        <v>1</v>
      </c>
      <c r="L40" s="34">
        <v>0</v>
      </c>
      <c r="M40" s="34">
        <v>1</v>
      </c>
      <c r="N40" s="34">
        <v>25</v>
      </c>
      <c r="O40" s="34">
        <v>1</v>
      </c>
      <c r="P40" s="34">
        <v>25</v>
      </c>
      <c r="Q40" s="34">
        <v>25</v>
      </c>
      <c r="R40" s="15"/>
    </row>
    <row r="41" spans="1:18" s="77" customFormat="1" ht="18.75" customHeight="1">
      <c r="A41" s="147" t="s">
        <v>716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1:18" ht="60.75" customHeight="1">
      <c r="A42" s="34" t="s">
        <v>188</v>
      </c>
      <c r="B42" s="159" t="s">
        <v>638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</row>
    <row r="43" spans="1:18" ht="37.5" customHeight="1">
      <c r="A43" s="43" t="s">
        <v>64</v>
      </c>
      <c r="B43" s="161" t="s">
        <v>639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</row>
    <row r="44" spans="1:18" s="55" customFormat="1" ht="76.5" customHeight="1">
      <c r="A44" s="43" t="s">
        <v>65</v>
      </c>
      <c r="B44" s="19" t="s">
        <v>189</v>
      </c>
      <c r="C44" s="15" t="s">
        <v>190</v>
      </c>
      <c r="D44" s="34">
        <v>1</v>
      </c>
      <c r="E44" s="34">
        <v>1</v>
      </c>
      <c r="F44" s="34">
        <v>1</v>
      </c>
      <c r="G44" s="34">
        <v>1</v>
      </c>
      <c r="H44" s="34">
        <v>1</v>
      </c>
      <c r="I44" s="34">
        <v>1</v>
      </c>
      <c r="J44" s="34">
        <v>1</v>
      </c>
      <c r="K44" s="34">
        <v>1</v>
      </c>
      <c r="L44" s="34">
        <v>1</v>
      </c>
      <c r="M44" s="34">
        <v>1</v>
      </c>
      <c r="N44" s="34">
        <v>1</v>
      </c>
      <c r="O44" s="34">
        <v>1</v>
      </c>
      <c r="P44" s="34">
        <v>1</v>
      </c>
      <c r="Q44" s="34">
        <v>1</v>
      </c>
      <c r="R44" s="15"/>
    </row>
    <row r="45" spans="1:18" ht="39">
      <c r="A45" s="79" t="s">
        <v>191</v>
      </c>
      <c r="B45" s="35" t="s">
        <v>192</v>
      </c>
      <c r="C45" s="20" t="s">
        <v>182</v>
      </c>
      <c r="D45" s="34" t="s">
        <v>193</v>
      </c>
      <c r="E45" s="34">
        <v>58.83</v>
      </c>
      <c r="F45" s="74">
        <v>41.1</v>
      </c>
      <c r="G45" s="34">
        <v>48.21</v>
      </c>
      <c r="H45" s="34">
        <v>20.9</v>
      </c>
      <c r="I45" s="34">
        <v>20.9</v>
      </c>
      <c r="J45" s="34">
        <v>34.1</v>
      </c>
      <c r="K45" s="34">
        <v>34.1</v>
      </c>
      <c r="L45" s="34">
        <v>34.1</v>
      </c>
      <c r="M45" s="34">
        <v>34.1</v>
      </c>
      <c r="N45" s="34">
        <v>34.1</v>
      </c>
      <c r="O45" s="34">
        <v>34.1</v>
      </c>
      <c r="P45" s="74">
        <v>41.1</v>
      </c>
      <c r="Q45" s="74">
        <v>41.1</v>
      </c>
      <c r="R45" s="15"/>
    </row>
    <row r="46" spans="1:18" s="55" customFormat="1" ht="34.5" customHeight="1">
      <c r="A46" s="43" t="s">
        <v>67</v>
      </c>
      <c r="B46" s="19" t="s">
        <v>194</v>
      </c>
      <c r="C46" s="15" t="s">
        <v>195</v>
      </c>
      <c r="D46" s="34">
        <v>1</v>
      </c>
      <c r="E46" s="34">
        <v>1</v>
      </c>
      <c r="F46" s="34">
        <v>1</v>
      </c>
      <c r="G46" s="34">
        <v>1</v>
      </c>
      <c r="H46" s="34">
        <v>1</v>
      </c>
      <c r="I46" s="34">
        <v>1</v>
      </c>
      <c r="J46" s="34">
        <v>1</v>
      </c>
      <c r="K46" s="34">
        <v>1</v>
      </c>
      <c r="L46" s="34">
        <v>1</v>
      </c>
      <c r="M46" s="34">
        <v>1</v>
      </c>
      <c r="N46" s="34">
        <v>1</v>
      </c>
      <c r="O46" s="34">
        <v>1</v>
      </c>
      <c r="P46" s="34">
        <v>1</v>
      </c>
      <c r="Q46" s="34">
        <v>1</v>
      </c>
      <c r="R46" s="15"/>
    </row>
    <row r="47" spans="1:18" s="77" customFormat="1" ht="18.75" customHeight="1">
      <c r="A47" s="147" t="s">
        <v>717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s="73" customFormat="1" ht="15.75">
      <c r="A48" s="34">
        <v>1</v>
      </c>
      <c r="B48" s="159" t="s">
        <v>640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</row>
    <row r="49" spans="1:18" s="73" customFormat="1" ht="27" customHeight="1">
      <c r="A49" s="43" t="s">
        <v>64</v>
      </c>
      <c r="B49" s="159" t="s">
        <v>641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</row>
    <row r="50" spans="1:18" s="78" customFormat="1" ht="54.75" customHeight="1">
      <c r="A50" s="79" t="s">
        <v>65</v>
      </c>
      <c r="B50" s="17" t="s">
        <v>204</v>
      </c>
      <c r="C50" s="23" t="s">
        <v>190</v>
      </c>
      <c r="D50" s="34">
        <v>1</v>
      </c>
      <c r="E50" s="34">
        <v>10</v>
      </c>
      <c r="F50" s="34">
        <v>10</v>
      </c>
      <c r="G50" s="34">
        <v>10</v>
      </c>
      <c r="H50" s="34">
        <v>0</v>
      </c>
      <c r="I50" s="34">
        <v>0</v>
      </c>
      <c r="J50" s="34">
        <v>6</v>
      </c>
      <c r="K50" s="34">
        <v>6</v>
      </c>
      <c r="L50" s="34">
        <v>10</v>
      </c>
      <c r="M50" s="34">
        <v>10</v>
      </c>
      <c r="N50" s="34">
        <v>10</v>
      </c>
      <c r="O50" s="34">
        <v>10</v>
      </c>
      <c r="P50" s="34">
        <v>10</v>
      </c>
      <c r="Q50" s="34">
        <v>10</v>
      </c>
      <c r="R50" s="15"/>
    </row>
    <row r="51" spans="1:18" ht="52.5" customHeight="1">
      <c r="A51" s="79" t="s">
        <v>191</v>
      </c>
      <c r="B51" s="35" t="s">
        <v>205</v>
      </c>
      <c r="C51" s="20" t="s">
        <v>190</v>
      </c>
      <c r="D51" s="34">
        <v>1</v>
      </c>
      <c r="E51" s="34">
        <v>39</v>
      </c>
      <c r="F51" s="34">
        <v>39</v>
      </c>
      <c r="G51" s="34">
        <v>39</v>
      </c>
      <c r="H51" s="34"/>
      <c r="I51" s="34"/>
      <c r="J51" s="34"/>
      <c r="K51" s="34"/>
      <c r="L51" s="34"/>
      <c r="M51" s="34"/>
      <c r="N51" s="34">
        <v>39</v>
      </c>
      <c r="O51" s="34">
        <v>39</v>
      </c>
      <c r="P51" s="34">
        <v>39</v>
      </c>
      <c r="Q51" s="34">
        <v>39</v>
      </c>
      <c r="R51" s="15"/>
    </row>
    <row r="52" spans="1:18" ht="57" customHeight="1">
      <c r="A52" s="79" t="s">
        <v>67</v>
      </c>
      <c r="B52" s="35" t="s">
        <v>206</v>
      </c>
      <c r="C52" s="20" t="s">
        <v>190</v>
      </c>
      <c r="D52" s="34">
        <v>1</v>
      </c>
      <c r="E52" s="34">
        <v>64</v>
      </c>
      <c r="F52" s="34">
        <v>66</v>
      </c>
      <c r="G52" s="34">
        <v>66</v>
      </c>
      <c r="H52" s="34">
        <v>62</v>
      </c>
      <c r="I52" s="34">
        <v>62</v>
      </c>
      <c r="J52" s="34">
        <v>62</v>
      </c>
      <c r="K52" s="34">
        <v>62</v>
      </c>
      <c r="L52" s="34">
        <v>62</v>
      </c>
      <c r="M52" s="34">
        <v>62</v>
      </c>
      <c r="N52" s="34">
        <v>62</v>
      </c>
      <c r="O52" s="34">
        <v>62</v>
      </c>
      <c r="P52" s="34">
        <v>62</v>
      </c>
      <c r="Q52" s="34">
        <v>62</v>
      </c>
      <c r="R52" s="15"/>
    </row>
    <row r="53" spans="1:18" ht="68.25" customHeight="1">
      <c r="A53" s="79" t="s">
        <v>68</v>
      </c>
      <c r="B53" s="35" t="s">
        <v>207</v>
      </c>
      <c r="C53" s="20" t="s">
        <v>190</v>
      </c>
      <c r="D53" s="34">
        <v>1</v>
      </c>
      <c r="E53" s="34">
        <v>41</v>
      </c>
      <c r="F53" s="34">
        <v>41</v>
      </c>
      <c r="G53" s="34">
        <v>41</v>
      </c>
      <c r="H53" s="34">
        <v>41</v>
      </c>
      <c r="I53" s="34">
        <v>41</v>
      </c>
      <c r="J53" s="34">
        <v>41</v>
      </c>
      <c r="K53" s="34">
        <v>41</v>
      </c>
      <c r="L53" s="34">
        <v>41</v>
      </c>
      <c r="M53" s="34">
        <v>41</v>
      </c>
      <c r="N53" s="34">
        <v>41</v>
      </c>
      <c r="O53" s="34">
        <v>41</v>
      </c>
      <c r="P53" s="34">
        <v>41</v>
      </c>
      <c r="Q53" s="34">
        <v>41</v>
      </c>
      <c r="R53" s="15"/>
    </row>
    <row r="54" spans="1:18" ht="15.75">
      <c r="A54" s="79" t="s">
        <v>208</v>
      </c>
      <c r="B54" s="162" t="s">
        <v>209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</row>
    <row r="55" spans="1:18" s="55" customFormat="1" ht="24.75" customHeight="1">
      <c r="A55" s="43" t="s">
        <v>91</v>
      </c>
      <c r="B55" s="64" t="s">
        <v>210</v>
      </c>
      <c r="C55" s="18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5"/>
    </row>
    <row r="56" spans="1:18" ht="24.75" customHeight="1">
      <c r="A56" s="79" t="s">
        <v>211</v>
      </c>
      <c r="B56" s="35" t="s">
        <v>212</v>
      </c>
      <c r="C56" s="20" t="s">
        <v>182</v>
      </c>
      <c r="D56" s="34">
        <v>0.6</v>
      </c>
      <c r="E56" s="34">
        <v>2896</v>
      </c>
      <c r="F56" s="34">
        <v>2872</v>
      </c>
      <c r="G56" s="34">
        <v>2872</v>
      </c>
      <c r="H56" s="34">
        <v>2764</v>
      </c>
      <c r="I56" s="34">
        <v>2764</v>
      </c>
      <c r="J56" s="34">
        <v>2764</v>
      </c>
      <c r="K56" s="34">
        <v>2764</v>
      </c>
      <c r="L56" s="34">
        <v>2764</v>
      </c>
      <c r="M56" s="34">
        <v>2764</v>
      </c>
      <c r="N56" s="34">
        <v>2764</v>
      </c>
      <c r="O56" s="34">
        <v>2764</v>
      </c>
      <c r="P56" s="34">
        <v>2764</v>
      </c>
      <c r="Q56" s="34">
        <v>2764</v>
      </c>
      <c r="R56" s="15"/>
    </row>
    <row r="57" spans="1:18" ht="15.75">
      <c r="A57" s="79" t="s">
        <v>213</v>
      </c>
      <c r="B57" s="19" t="s">
        <v>214</v>
      </c>
      <c r="C57" s="20" t="s">
        <v>215</v>
      </c>
      <c r="D57" s="34">
        <v>0.4</v>
      </c>
      <c r="E57" s="74">
        <v>61.1</v>
      </c>
      <c r="F57" s="74">
        <v>48.2</v>
      </c>
      <c r="G57" s="74">
        <v>48.2</v>
      </c>
      <c r="H57" s="74">
        <v>0</v>
      </c>
      <c r="I57" s="74">
        <v>0</v>
      </c>
      <c r="J57" s="74">
        <v>62.5</v>
      </c>
      <c r="K57" s="74">
        <v>62.5</v>
      </c>
      <c r="L57" s="74">
        <v>62.5</v>
      </c>
      <c r="M57" s="74">
        <v>62.5</v>
      </c>
      <c r="N57" s="74">
        <v>62.5</v>
      </c>
      <c r="O57" s="74">
        <v>62.5</v>
      </c>
      <c r="P57" s="74">
        <v>51</v>
      </c>
      <c r="Q57" s="74">
        <v>51</v>
      </c>
      <c r="R57" s="15"/>
    </row>
    <row r="58" spans="1:18" ht="15.75">
      <c r="A58" s="79" t="s">
        <v>216</v>
      </c>
      <c r="B58" s="162" t="s">
        <v>217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</row>
    <row r="59" spans="1:18" ht="16.5" customHeight="1">
      <c r="A59" s="79" t="s">
        <v>218</v>
      </c>
      <c r="B59" s="163" t="s">
        <v>219</v>
      </c>
      <c r="C59" s="163"/>
      <c r="D59" s="163"/>
      <c r="E59" s="163"/>
      <c r="F59" s="163"/>
      <c r="G59" s="163"/>
      <c r="H59" s="163"/>
      <c r="I59" s="163"/>
      <c r="J59" s="163"/>
      <c r="K59" s="34"/>
      <c r="L59" s="34"/>
      <c r="M59" s="34"/>
      <c r="N59" s="34"/>
      <c r="O59" s="34"/>
      <c r="P59" s="34"/>
      <c r="Q59" s="34"/>
      <c r="R59" s="15"/>
    </row>
    <row r="60" spans="1:18" ht="15.75">
      <c r="A60" s="79" t="s">
        <v>220</v>
      </c>
      <c r="B60" s="19" t="s">
        <v>221</v>
      </c>
      <c r="C60" s="20" t="s">
        <v>182</v>
      </c>
      <c r="D60" s="34">
        <v>0.6</v>
      </c>
      <c r="E60" s="34">
        <v>2252</v>
      </c>
      <c r="F60" s="34">
        <v>2408</v>
      </c>
      <c r="G60" s="34">
        <v>2408</v>
      </c>
      <c r="H60" s="34">
        <v>2611</v>
      </c>
      <c r="I60" s="34">
        <v>2611</v>
      </c>
      <c r="J60" s="34">
        <v>2611</v>
      </c>
      <c r="K60" s="34">
        <v>2611</v>
      </c>
      <c r="L60" s="34">
        <v>2611</v>
      </c>
      <c r="M60" s="34">
        <v>2611</v>
      </c>
      <c r="N60" s="34">
        <v>2611</v>
      </c>
      <c r="O60" s="34">
        <v>2611</v>
      </c>
      <c r="P60" s="34">
        <v>2611</v>
      </c>
      <c r="Q60" s="34">
        <v>2611</v>
      </c>
      <c r="R60" s="15"/>
    </row>
    <row r="61" spans="1:18" ht="60.75" customHeight="1">
      <c r="A61" s="43" t="s">
        <v>222</v>
      </c>
      <c r="B61" s="19" t="s">
        <v>223</v>
      </c>
      <c r="C61" s="15" t="s">
        <v>224</v>
      </c>
      <c r="D61" s="34">
        <v>0.4</v>
      </c>
      <c r="E61" s="34">
        <v>108.02</v>
      </c>
      <c r="F61" s="34">
        <v>110.58</v>
      </c>
      <c r="G61" s="34">
        <v>87.54</v>
      </c>
      <c r="H61" s="74">
        <v>23.64</v>
      </c>
      <c r="I61" s="34">
        <v>18.98</v>
      </c>
      <c r="J61" s="74">
        <v>45.47</v>
      </c>
      <c r="K61" s="34">
        <v>37.57</v>
      </c>
      <c r="L61" s="74">
        <v>68.67</v>
      </c>
      <c r="M61" s="34">
        <v>56.02</v>
      </c>
      <c r="N61" s="34">
        <v>75.81</v>
      </c>
      <c r="O61" s="34">
        <v>75.81</v>
      </c>
      <c r="P61" s="34">
        <v>95.47</v>
      </c>
      <c r="Q61" s="34">
        <v>95.47</v>
      </c>
      <c r="R61" s="15"/>
    </row>
    <row r="62" spans="1:18" ht="15.75">
      <c r="A62" s="80" t="s">
        <v>225</v>
      </c>
      <c r="B62" s="162" t="s">
        <v>226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5"/>
    </row>
    <row r="63" spans="1:18" ht="39.75" customHeight="1">
      <c r="A63" s="79" t="s">
        <v>227</v>
      </c>
      <c r="B63" s="35" t="s">
        <v>228</v>
      </c>
      <c r="C63" s="20" t="s">
        <v>190</v>
      </c>
      <c r="D63" s="34">
        <v>1</v>
      </c>
      <c r="E63" s="34">
        <v>95</v>
      </c>
      <c r="F63" s="34">
        <v>95</v>
      </c>
      <c r="G63" s="34">
        <v>95</v>
      </c>
      <c r="H63" s="34">
        <v>97</v>
      </c>
      <c r="I63" s="34">
        <v>97</v>
      </c>
      <c r="J63" s="34">
        <v>97</v>
      </c>
      <c r="K63" s="34">
        <v>97</v>
      </c>
      <c r="L63" s="34">
        <v>97</v>
      </c>
      <c r="M63" s="34">
        <v>97</v>
      </c>
      <c r="N63" s="34">
        <v>97</v>
      </c>
      <c r="O63" s="34">
        <v>97</v>
      </c>
      <c r="P63" s="34">
        <v>97</v>
      </c>
      <c r="Q63" s="34">
        <v>97</v>
      </c>
      <c r="R63" s="15"/>
    </row>
    <row r="64" spans="1:18" ht="21" customHeight="1">
      <c r="A64" s="147" t="s">
        <v>718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1:18" ht="16.5" customHeight="1">
      <c r="A65" s="50">
        <v>1</v>
      </c>
      <c r="B65" s="166" t="s">
        <v>642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5"/>
    </row>
    <row r="66" spans="1:18" ht="14.25" customHeight="1">
      <c r="A66" s="50" t="s">
        <v>164</v>
      </c>
      <c r="B66" s="166" t="s">
        <v>643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5"/>
    </row>
    <row r="67" spans="1:18" ht="25.5" customHeight="1">
      <c r="A67" s="50" t="s">
        <v>246</v>
      </c>
      <c r="B67" s="17" t="s">
        <v>247</v>
      </c>
      <c r="C67" s="15" t="s">
        <v>248</v>
      </c>
      <c r="D67" s="34"/>
      <c r="E67" s="34">
        <v>278</v>
      </c>
      <c r="F67" s="34">
        <v>278</v>
      </c>
      <c r="G67" s="34">
        <v>100</v>
      </c>
      <c r="H67" s="34">
        <v>100</v>
      </c>
      <c r="I67" s="34">
        <v>0</v>
      </c>
      <c r="J67" s="34">
        <v>0</v>
      </c>
      <c r="K67" s="34">
        <v>0</v>
      </c>
      <c r="L67" s="34">
        <v>0</v>
      </c>
      <c r="M67" s="34">
        <v>100</v>
      </c>
      <c r="N67" s="34">
        <v>100</v>
      </c>
      <c r="O67" s="34">
        <v>100</v>
      </c>
      <c r="P67" s="34">
        <v>100</v>
      </c>
      <c r="Q67" s="34"/>
      <c r="R67" s="15"/>
    </row>
    <row r="68" spans="1:18" ht="24.75" customHeight="1">
      <c r="A68" s="50" t="s">
        <v>66</v>
      </c>
      <c r="B68" s="35" t="s">
        <v>249</v>
      </c>
      <c r="C68" s="15" t="s">
        <v>248</v>
      </c>
      <c r="D68" s="34"/>
      <c r="E68" s="34">
        <v>241.5</v>
      </c>
      <c r="F68" s="34">
        <v>241.5</v>
      </c>
      <c r="G68" s="34">
        <v>250</v>
      </c>
      <c r="H68" s="34">
        <v>250</v>
      </c>
      <c r="I68" s="34">
        <v>0</v>
      </c>
      <c r="J68" s="34">
        <v>0</v>
      </c>
      <c r="K68" s="34">
        <v>0</v>
      </c>
      <c r="L68" s="34">
        <v>0</v>
      </c>
      <c r="M68" s="34">
        <v>250</v>
      </c>
      <c r="N68" s="34">
        <v>250</v>
      </c>
      <c r="O68" s="34">
        <v>250</v>
      </c>
      <c r="P68" s="34">
        <v>250</v>
      </c>
      <c r="Q68" s="34"/>
      <c r="R68" s="15"/>
    </row>
    <row r="69" spans="1:18" ht="24.75" customHeight="1">
      <c r="A69" s="50" t="s">
        <v>250</v>
      </c>
      <c r="B69" s="35" t="s">
        <v>251</v>
      </c>
      <c r="C69" s="15" t="s">
        <v>248</v>
      </c>
      <c r="D69" s="34"/>
      <c r="E69" s="34">
        <v>211</v>
      </c>
      <c r="F69" s="34">
        <v>211</v>
      </c>
      <c r="G69" s="34">
        <v>200</v>
      </c>
      <c r="H69" s="34">
        <v>200</v>
      </c>
      <c r="I69" s="34">
        <v>0</v>
      </c>
      <c r="J69" s="34">
        <v>0</v>
      </c>
      <c r="K69" s="34">
        <v>0</v>
      </c>
      <c r="L69" s="34">
        <v>0</v>
      </c>
      <c r="M69" s="34">
        <v>200</v>
      </c>
      <c r="N69" s="34">
        <v>200</v>
      </c>
      <c r="O69" s="34">
        <v>200</v>
      </c>
      <c r="P69" s="34">
        <v>200</v>
      </c>
      <c r="Q69" s="34"/>
      <c r="R69" s="15"/>
    </row>
    <row r="70" spans="1:18" ht="27.75" customHeight="1">
      <c r="A70" s="50" t="s">
        <v>252</v>
      </c>
      <c r="B70" s="35" t="s">
        <v>253</v>
      </c>
      <c r="C70" s="15" t="s">
        <v>248</v>
      </c>
      <c r="D70" s="34"/>
      <c r="E70" s="34">
        <v>214</v>
      </c>
      <c r="F70" s="34">
        <v>214</v>
      </c>
      <c r="G70" s="34">
        <v>200</v>
      </c>
      <c r="H70" s="34">
        <v>200</v>
      </c>
      <c r="I70" s="34">
        <v>0</v>
      </c>
      <c r="J70" s="34">
        <v>0</v>
      </c>
      <c r="K70" s="34">
        <v>0</v>
      </c>
      <c r="L70" s="34">
        <v>0</v>
      </c>
      <c r="M70" s="34">
        <v>200</v>
      </c>
      <c r="N70" s="34">
        <v>200</v>
      </c>
      <c r="O70" s="34">
        <v>200</v>
      </c>
      <c r="P70" s="34">
        <v>200</v>
      </c>
      <c r="Q70" s="34"/>
      <c r="R70" s="15"/>
    </row>
    <row r="71" spans="1:18" ht="33.75" customHeight="1">
      <c r="A71" s="50" t="s">
        <v>254</v>
      </c>
      <c r="B71" s="35" t="s">
        <v>255</v>
      </c>
      <c r="C71" s="15" t="s">
        <v>248</v>
      </c>
      <c r="D71" s="34"/>
      <c r="E71" s="34">
        <v>836.5</v>
      </c>
      <c r="F71" s="34">
        <v>836.5</v>
      </c>
      <c r="G71" s="34">
        <v>600</v>
      </c>
      <c r="H71" s="34">
        <v>600</v>
      </c>
      <c r="I71" s="34">
        <v>0</v>
      </c>
      <c r="J71" s="34">
        <v>0</v>
      </c>
      <c r="K71" s="34">
        <v>0</v>
      </c>
      <c r="L71" s="34">
        <v>0</v>
      </c>
      <c r="M71" s="34">
        <v>600</v>
      </c>
      <c r="N71" s="34">
        <v>600</v>
      </c>
      <c r="O71" s="34">
        <v>600</v>
      </c>
      <c r="P71" s="34">
        <v>600</v>
      </c>
      <c r="Q71" s="34"/>
      <c r="R71" s="15"/>
    </row>
    <row r="72" spans="1:18" ht="50.25" customHeight="1">
      <c r="A72" s="50" t="s">
        <v>256</v>
      </c>
      <c r="B72" s="35" t="s">
        <v>257</v>
      </c>
      <c r="C72" s="15" t="s">
        <v>248</v>
      </c>
      <c r="D72" s="34"/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/>
      <c r="R72" s="15"/>
    </row>
    <row r="73" spans="1:18" ht="35.25" customHeight="1">
      <c r="A73" s="50" t="s">
        <v>258</v>
      </c>
      <c r="B73" s="35" t="s">
        <v>259</v>
      </c>
      <c r="C73" s="15" t="s">
        <v>248</v>
      </c>
      <c r="D73" s="34"/>
      <c r="E73" s="34">
        <v>498.3</v>
      </c>
      <c r="F73" s="34">
        <v>498.3</v>
      </c>
      <c r="G73" s="34">
        <v>300</v>
      </c>
      <c r="H73" s="34">
        <v>300</v>
      </c>
      <c r="I73" s="34">
        <v>0</v>
      </c>
      <c r="J73" s="34">
        <v>0</v>
      </c>
      <c r="K73" s="34">
        <v>0</v>
      </c>
      <c r="L73" s="34">
        <v>0</v>
      </c>
      <c r="M73" s="34">
        <v>300</v>
      </c>
      <c r="N73" s="34">
        <v>300</v>
      </c>
      <c r="O73" s="34">
        <v>300</v>
      </c>
      <c r="P73" s="34">
        <v>300</v>
      </c>
      <c r="Q73" s="34"/>
      <c r="R73" s="15"/>
    </row>
    <row r="74" spans="1:18" ht="24" customHeight="1">
      <c r="A74" s="50" t="s">
        <v>260</v>
      </c>
      <c r="B74" s="35" t="s">
        <v>261</v>
      </c>
      <c r="C74" s="15" t="s">
        <v>248</v>
      </c>
      <c r="D74" s="34"/>
      <c r="E74" s="34">
        <v>409</v>
      </c>
      <c r="F74" s="34">
        <v>409</v>
      </c>
      <c r="G74" s="34">
        <v>300</v>
      </c>
      <c r="H74" s="34">
        <v>300</v>
      </c>
      <c r="I74" s="34">
        <v>0</v>
      </c>
      <c r="J74" s="34">
        <v>0</v>
      </c>
      <c r="K74" s="34">
        <v>0</v>
      </c>
      <c r="L74" s="34">
        <v>0</v>
      </c>
      <c r="M74" s="34">
        <v>300</v>
      </c>
      <c r="N74" s="34">
        <v>300</v>
      </c>
      <c r="O74" s="34">
        <v>300</v>
      </c>
      <c r="P74" s="34">
        <v>300</v>
      </c>
      <c r="Q74" s="34"/>
      <c r="R74" s="15"/>
    </row>
    <row r="75" spans="1:18" ht="23.25" customHeight="1">
      <c r="A75" s="50" t="s">
        <v>262</v>
      </c>
      <c r="B75" s="35" t="s">
        <v>263</v>
      </c>
      <c r="C75" s="15" t="s">
        <v>248</v>
      </c>
      <c r="D75" s="34"/>
      <c r="E75" s="34">
        <v>294</v>
      </c>
      <c r="F75" s="34">
        <v>294</v>
      </c>
      <c r="G75" s="34">
        <v>200</v>
      </c>
      <c r="H75" s="34">
        <v>200</v>
      </c>
      <c r="I75" s="34">
        <v>0</v>
      </c>
      <c r="J75" s="34">
        <v>0</v>
      </c>
      <c r="K75" s="34">
        <v>0</v>
      </c>
      <c r="L75" s="34">
        <v>0</v>
      </c>
      <c r="M75" s="34">
        <v>200</v>
      </c>
      <c r="N75" s="34">
        <v>200</v>
      </c>
      <c r="O75" s="34">
        <v>200</v>
      </c>
      <c r="P75" s="34">
        <v>200</v>
      </c>
      <c r="Q75" s="34"/>
      <c r="R75" s="15"/>
    </row>
    <row r="76" spans="1:18" ht="35.25" customHeight="1">
      <c r="A76" s="50" t="s">
        <v>264</v>
      </c>
      <c r="B76" s="35" t="s">
        <v>265</v>
      </c>
      <c r="C76" s="15" t="s">
        <v>248</v>
      </c>
      <c r="D76" s="34"/>
      <c r="E76" s="34">
        <v>1130</v>
      </c>
      <c r="F76" s="34">
        <v>1130</v>
      </c>
      <c r="G76" s="34">
        <v>1400</v>
      </c>
      <c r="H76" s="34">
        <v>1400</v>
      </c>
      <c r="I76" s="34">
        <v>0</v>
      </c>
      <c r="J76" s="34">
        <v>0</v>
      </c>
      <c r="K76" s="34">
        <v>0</v>
      </c>
      <c r="L76" s="34">
        <v>0</v>
      </c>
      <c r="M76" s="34">
        <v>700</v>
      </c>
      <c r="N76" s="34">
        <v>700</v>
      </c>
      <c r="O76" s="34">
        <v>700</v>
      </c>
      <c r="P76" s="34">
        <v>700</v>
      </c>
      <c r="Q76" s="34"/>
      <c r="R76" s="15"/>
    </row>
    <row r="77" spans="1:18" ht="23.25" customHeight="1">
      <c r="A77" s="50" t="s">
        <v>266</v>
      </c>
      <c r="B77" s="35" t="s">
        <v>267</v>
      </c>
      <c r="C77" s="15" t="s">
        <v>268</v>
      </c>
      <c r="D77" s="34"/>
      <c r="E77" s="34">
        <v>40</v>
      </c>
      <c r="F77" s="34">
        <v>40</v>
      </c>
      <c r="G77" s="34">
        <v>20</v>
      </c>
      <c r="H77" s="34">
        <v>20</v>
      </c>
      <c r="I77" s="34">
        <v>0</v>
      </c>
      <c r="J77" s="34">
        <v>0</v>
      </c>
      <c r="K77" s="34">
        <v>0</v>
      </c>
      <c r="L77" s="34">
        <v>0</v>
      </c>
      <c r="M77" s="34">
        <v>50</v>
      </c>
      <c r="N77" s="34">
        <v>50</v>
      </c>
      <c r="O77" s="34">
        <v>50</v>
      </c>
      <c r="P77" s="34">
        <v>50</v>
      </c>
      <c r="Q77" s="34"/>
      <c r="R77" s="15"/>
    </row>
    <row r="78" spans="1:18" ht="48.75" customHeight="1">
      <c r="A78" s="50" t="s">
        <v>269</v>
      </c>
      <c r="B78" s="35" t="s">
        <v>270</v>
      </c>
      <c r="C78" s="15" t="s">
        <v>248</v>
      </c>
      <c r="D78" s="34"/>
      <c r="E78" s="34">
        <v>65</v>
      </c>
      <c r="F78" s="34">
        <v>65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/>
      <c r="R78" s="15"/>
    </row>
    <row r="79" spans="1:18" ht="21" customHeight="1">
      <c r="A79" s="147" t="s">
        <v>719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1:18" ht="15.75" customHeight="1">
      <c r="A80" s="50"/>
      <c r="B80" s="166" t="s">
        <v>646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</row>
    <row r="81" spans="1:18" ht="14.25" customHeight="1">
      <c r="A81" s="50"/>
      <c r="B81" s="166" t="s">
        <v>647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</row>
    <row r="82" spans="1:18" ht="14.25" customHeight="1">
      <c r="A82" s="71" t="s">
        <v>188</v>
      </c>
      <c r="B82" s="162" t="s">
        <v>565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</row>
    <row r="83" spans="1:18" ht="27.75" customHeight="1">
      <c r="A83" s="50" t="s">
        <v>164</v>
      </c>
      <c r="B83" s="17" t="s">
        <v>566</v>
      </c>
      <c r="C83" s="15" t="s">
        <v>567</v>
      </c>
      <c r="D83" s="34"/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f>K83+M83</f>
        <v>0</v>
      </c>
      <c r="P83" s="34">
        <f>L83+N83</f>
        <v>0</v>
      </c>
      <c r="Q83" s="34">
        <v>20</v>
      </c>
      <c r="R83" s="15"/>
    </row>
    <row r="84" spans="1:18" ht="39.75" customHeight="1">
      <c r="A84" s="50" t="s">
        <v>208</v>
      </c>
      <c r="B84" s="35" t="s">
        <v>568</v>
      </c>
      <c r="C84" s="15" t="s">
        <v>569</v>
      </c>
      <c r="D84" s="34"/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f aca="true" t="shared" si="0" ref="O84:P89">K84+M84</f>
        <v>0</v>
      </c>
      <c r="P84" s="34">
        <f t="shared" si="0"/>
        <v>0</v>
      </c>
      <c r="Q84" s="34">
        <v>80</v>
      </c>
      <c r="R84" s="15"/>
    </row>
    <row r="85" spans="1:18" ht="76.5" customHeight="1">
      <c r="A85" s="50" t="s">
        <v>291</v>
      </c>
      <c r="B85" s="35" t="s">
        <v>570</v>
      </c>
      <c r="C85" s="15" t="s">
        <v>248</v>
      </c>
      <c r="D85" s="34"/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f t="shared" si="0"/>
        <v>0</v>
      </c>
      <c r="P85" s="34">
        <f t="shared" si="0"/>
        <v>0</v>
      </c>
      <c r="Q85" s="34">
        <v>40</v>
      </c>
      <c r="R85" s="15"/>
    </row>
    <row r="86" spans="1:18" ht="52.5" customHeight="1">
      <c r="A86" s="50" t="s">
        <v>298</v>
      </c>
      <c r="B86" s="35" t="s">
        <v>666</v>
      </c>
      <c r="C86" s="15" t="s">
        <v>248</v>
      </c>
      <c r="D86" s="34"/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f t="shared" si="0"/>
        <v>0</v>
      </c>
      <c r="P86" s="34">
        <f t="shared" si="0"/>
        <v>0</v>
      </c>
      <c r="Q86" s="34">
        <v>195</v>
      </c>
      <c r="R86" s="29"/>
    </row>
    <row r="87" spans="1:18" ht="49.5" customHeight="1">
      <c r="A87" s="50" t="s">
        <v>382</v>
      </c>
      <c r="B87" s="35" t="s">
        <v>571</v>
      </c>
      <c r="C87" s="15" t="s">
        <v>248</v>
      </c>
      <c r="D87" s="34"/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f t="shared" si="0"/>
        <v>0</v>
      </c>
      <c r="P87" s="34">
        <f t="shared" si="0"/>
        <v>0</v>
      </c>
      <c r="Q87" s="34">
        <v>389</v>
      </c>
      <c r="R87" s="29"/>
    </row>
    <row r="88" spans="1:18" ht="40.5" customHeight="1">
      <c r="A88" s="50" t="s">
        <v>397</v>
      </c>
      <c r="B88" s="35" t="s">
        <v>572</v>
      </c>
      <c r="C88" s="15" t="s">
        <v>248</v>
      </c>
      <c r="D88" s="34"/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f t="shared" si="0"/>
        <v>0</v>
      </c>
      <c r="P88" s="34">
        <f t="shared" si="0"/>
        <v>0</v>
      </c>
      <c r="Q88" s="34">
        <v>195</v>
      </c>
      <c r="R88" s="29"/>
    </row>
    <row r="89" spans="1:18" ht="14.25" customHeight="1">
      <c r="A89" s="50" t="s">
        <v>401</v>
      </c>
      <c r="B89" s="35" t="s">
        <v>573</v>
      </c>
      <c r="C89" s="15" t="s">
        <v>569</v>
      </c>
      <c r="D89" s="34"/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f t="shared" si="0"/>
        <v>0</v>
      </c>
      <c r="P89" s="34">
        <f t="shared" si="0"/>
        <v>0</v>
      </c>
      <c r="Q89" s="34">
        <v>78</v>
      </c>
      <c r="R89" s="29"/>
    </row>
    <row r="90" spans="1:18" ht="17.25" customHeight="1">
      <c r="A90" s="71" t="s">
        <v>165</v>
      </c>
      <c r="B90" s="162" t="s">
        <v>574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</row>
    <row r="91" spans="1:18" ht="35.25" customHeight="1">
      <c r="A91" s="50" t="s">
        <v>166</v>
      </c>
      <c r="B91" s="35" t="s">
        <v>575</v>
      </c>
      <c r="C91" s="15" t="s">
        <v>567</v>
      </c>
      <c r="D91" s="34"/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5</v>
      </c>
      <c r="R91" s="29"/>
    </row>
    <row r="92" spans="1:18" ht="39.75" customHeight="1">
      <c r="A92" s="50" t="s">
        <v>576</v>
      </c>
      <c r="B92" s="35" t="s">
        <v>577</v>
      </c>
      <c r="C92" s="15" t="s">
        <v>567</v>
      </c>
      <c r="D92" s="34"/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1</v>
      </c>
      <c r="R92" s="15"/>
    </row>
    <row r="93" spans="1:18" ht="39" customHeight="1">
      <c r="A93" s="50" t="s">
        <v>578</v>
      </c>
      <c r="B93" s="35" t="s">
        <v>579</v>
      </c>
      <c r="C93" s="15" t="s">
        <v>569</v>
      </c>
      <c r="D93" s="34"/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532</v>
      </c>
      <c r="R93" s="15"/>
    </row>
    <row r="94" spans="1:18" ht="15" customHeight="1">
      <c r="A94" s="71" t="s">
        <v>167</v>
      </c>
      <c r="B94" s="162" t="s">
        <v>580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</row>
    <row r="95" spans="1:18" ht="54" customHeight="1">
      <c r="A95" s="50" t="s">
        <v>168</v>
      </c>
      <c r="B95" s="35" t="s">
        <v>581</v>
      </c>
      <c r="C95" s="15" t="s">
        <v>248</v>
      </c>
      <c r="D95" s="34"/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2042</v>
      </c>
      <c r="R95" s="14"/>
    </row>
    <row r="96" spans="1:18" ht="63.75" customHeight="1">
      <c r="A96" s="50" t="s">
        <v>582</v>
      </c>
      <c r="B96" s="35" t="s">
        <v>583</v>
      </c>
      <c r="C96" s="15" t="s">
        <v>248</v>
      </c>
      <c r="D96" s="34"/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2042</v>
      </c>
      <c r="R96" s="14"/>
    </row>
    <row r="97" spans="1:18" ht="40.5" customHeight="1">
      <c r="A97" s="50" t="s">
        <v>584</v>
      </c>
      <c r="B97" s="35" t="s">
        <v>585</v>
      </c>
      <c r="C97" s="15" t="s">
        <v>248</v>
      </c>
      <c r="D97" s="34"/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2042</v>
      </c>
      <c r="R97" s="14"/>
    </row>
    <row r="98" spans="1:18" ht="181.5" customHeight="1">
      <c r="A98" s="50" t="s">
        <v>586</v>
      </c>
      <c r="B98" s="35" t="s">
        <v>587</v>
      </c>
      <c r="C98" s="15" t="s">
        <v>248</v>
      </c>
      <c r="D98" s="34"/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40">
        <v>2042</v>
      </c>
      <c r="R98" s="14"/>
    </row>
    <row r="99" spans="1:18" ht="66" customHeight="1">
      <c r="A99" s="50" t="s">
        <v>588</v>
      </c>
      <c r="B99" s="35" t="s">
        <v>589</v>
      </c>
      <c r="C99" s="15" t="s">
        <v>195</v>
      </c>
      <c r="D99" s="34"/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22</v>
      </c>
      <c r="R99" s="15"/>
    </row>
    <row r="100" spans="1:18" ht="51.75" customHeight="1">
      <c r="A100" s="50" t="s">
        <v>590</v>
      </c>
      <c r="B100" s="35" t="s">
        <v>591</v>
      </c>
      <c r="C100" s="15" t="s">
        <v>592</v>
      </c>
      <c r="D100" s="34"/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55</v>
      </c>
      <c r="R100" s="15"/>
    </row>
    <row r="101" spans="1:18" ht="38.25" customHeight="1">
      <c r="A101" s="50" t="s">
        <v>593</v>
      </c>
      <c r="B101" s="35" t="s">
        <v>594</v>
      </c>
      <c r="C101" s="15" t="s">
        <v>195</v>
      </c>
      <c r="D101" s="34"/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22</v>
      </c>
      <c r="R101" s="15"/>
    </row>
    <row r="102" spans="1:18" ht="24" customHeight="1">
      <c r="A102" s="147" t="s">
        <v>720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</row>
    <row r="103" spans="1:18" ht="33" customHeight="1">
      <c r="A103" s="81">
        <v>1</v>
      </c>
      <c r="B103" s="162" t="s">
        <v>648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</row>
    <row r="104" spans="1:18" ht="40.5" customHeight="1">
      <c r="A104" s="81" t="s">
        <v>164</v>
      </c>
      <c r="B104" s="162" t="s">
        <v>649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</row>
    <row r="105" spans="1:18" s="55" customFormat="1" ht="18" customHeight="1">
      <c r="A105" s="82" t="s">
        <v>246</v>
      </c>
      <c r="B105" s="164" t="s">
        <v>518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1:18" ht="93.75" customHeight="1">
      <c r="A106" s="81" t="s">
        <v>274</v>
      </c>
      <c r="B106" s="35" t="s">
        <v>275</v>
      </c>
      <c r="C106" s="15" t="s">
        <v>276</v>
      </c>
      <c r="D106" s="34"/>
      <c r="E106" s="34">
        <v>19</v>
      </c>
      <c r="F106" s="34">
        <f>F107+F108+F109+F110+F111+F112</f>
        <v>26</v>
      </c>
      <c r="G106" s="34">
        <f>G107+G108+G109+G110+G111+G112</f>
        <v>26</v>
      </c>
      <c r="H106" s="34"/>
      <c r="I106" s="34"/>
      <c r="J106" s="34"/>
      <c r="K106" s="34"/>
      <c r="L106" s="34">
        <f>L107+L108+L109+L110+L111+1</f>
        <v>26</v>
      </c>
      <c r="M106" s="34">
        <f>M107+M108+M109+M110+M111+M112</f>
        <v>26</v>
      </c>
      <c r="N106" s="34">
        <f>N107+N108+N109+N110+N111+N112</f>
        <v>26</v>
      </c>
      <c r="O106" s="34">
        <f>O107+O108+O109+O110+O111+O112</f>
        <v>26</v>
      </c>
      <c r="P106" s="34">
        <f>P107+P108+P109+P110+P111+P112</f>
        <v>26</v>
      </c>
      <c r="Q106" s="34"/>
      <c r="R106" s="152"/>
    </row>
    <row r="107" spans="1:18" ht="15.75" customHeight="1">
      <c r="A107" s="81"/>
      <c r="B107" s="35" t="s">
        <v>278</v>
      </c>
      <c r="C107" s="15" t="s">
        <v>78</v>
      </c>
      <c r="D107" s="34"/>
      <c r="E107" s="34">
        <v>5</v>
      </c>
      <c r="F107" s="34">
        <v>7</v>
      </c>
      <c r="G107" s="34">
        <v>7</v>
      </c>
      <c r="H107" s="34"/>
      <c r="I107" s="34"/>
      <c r="J107" s="34"/>
      <c r="K107" s="34"/>
      <c r="L107" s="34">
        <v>7</v>
      </c>
      <c r="M107" s="34">
        <v>7</v>
      </c>
      <c r="N107" s="34">
        <v>7</v>
      </c>
      <c r="O107" s="34">
        <v>7</v>
      </c>
      <c r="P107" s="34">
        <v>7</v>
      </c>
      <c r="Q107" s="34"/>
      <c r="R107" s="152"/>
    </row>
    <row r="108" spans="1:18" ht="15.75">
      <c r="A108" s="81"/>
      <c r="B108" s="35" t="s">
        <v>279</v>
      </c>
      <c r="C108" s="15" t="s">
        <v>78</v>
      </c>
      <c r="D108" s="34"/>
      <c r="E108" s="34">
        <v>4</v>
      </c>
      <c r="F108" s="34">
        <v>3</v>
      </c>
      <c r="G108" s="34">
        <v>3</v>
      </c>
      <c r="H108" s="34"/>
      <c r="I108" s="34"/>
      <c r="J108" s="34"/>
      <c r="K108" s="34"/>
      <c r="L108" s="34">
        <v>3</v>
      </c>
      <c r="M108" s="34">
        <v>3</v>
      </c>
      <c r="N108" s="34">
        <v>3</v>
      </c>
      <c r="O108" s="34">
        <v>3</v>
      </c>
      <c r="P108" s="34">
        <v>3</v>
      </c>
      <c r="Q108" s="34"/>
      <c r="R108" s="152"/>
    </row>
    <row r="109" spans="1:18" ht="15.75">
      <c r="A109" s="81"/>
      <c r="B109" s="35" t="s">
        <v>280</v>
      </c>
      <c r="C109" s="15" t="s">
        <v>78</v>
      </c>
      <c r="D109" s="34"/>
      <c r="E109" s="34">
        <v>7</v>
      </c>
      <c r="F109" s="34">
        <v>10</v>
      </c>
      <c r="G109" s="34">
        <v>10</v>
      </c>
      <c r="H109" s="34"/>
      <c r="I109" s="34"/>
      <c r="J109" s="34"/>
      <c r="K109" s="34"/>
      <c r="L109" s="34">
        <v>10</v>
      </c>
      <c r="M109" s="34">
        <v>10</v>
      </c>
      <c r="N109" s="34">
        <v>10</v>
      </c>
      <c r="O109" s="34">
        <v>10</v>
      </c>
      <c r="P109" s="34">
        <v>10</v>
      </c>
      <c r="Q109" s="34"/>
      <c r="R109" s="152"/>
    </row>
    <row r="110" spans="1:18" ht="15.75">
      <c r="A110" s="81"/>
      <c r="B110" s="35" t="s">
        <v>281</v>
      </c>
      <c r="C110" s="15" t="s">
        <v>78</v>
      </c>
      <c r="D110" s="34"/>
      <c r="E110" s="34">
        <v>2</v>
      </c>
      <c r="F110" s="34">
        <v>4</v>
      </c>
      <c r="G110" s="34">
        <v>4</v>
      </c>
      <c r="H110" s="34"/>
      <c r="I110" s="34"/>
      <c r="J110" s="34"/>
      <c r="K110" s="34"/>
      <c r="L110" s="34">
        <v>4</v>
      </c>
      <c r="M110" s="34">
        <v>4</v>
      </c>
      <c r="N110" s="34">
        <v>4</v>
      </c>
      <c r="O110" s="34">
        <v>4</v>
      </c>
      <c r="P110" s="34">
        <v>4</v>
      </c>
      <c r="Q110" s="34"/>
      <c r="R110" s="152"/>
    </row>
    <row r="111" spans="1:18" ht="22.5" customHeight="1">
      <c r="A111" s="81"/>
      <c r="B111" s="35" t="s">
        <v>282</v>
      </c>
      <c r="C111" s="15"/>
      <c r="D111" s="34"/>
      <c r="E111" s="34">
        <v>1</v>
      </c>
      <c r="F111" s="34">
        <v>1</v>
      </c>
      <c r="G111" s="34">
        <v>1</v>
      </c>
      <c r="H111" s="34"/>
      <c r="I111" s="34"/>
      <c r="J111" s="34"/>
      <c r="K111" s="34"/>
      <c r="L111" s="34">
        <v>1</v>
      </c>
      <c r="M111" s="34">
        <v>1</v>
      </c>
      <c r="N111" s="34">
        <v>1</v>
      </c>
      <c r="O111" s="34">
        <v>1</v>
      </c>
      <c r="P111" s="34">
        <v>1</v>
      </c>
      <c r="Q111" s="34"/>
      <c r="R111" s="152"/>
    </row>
    <row r="112" spans="1:18" ht="15" customHeight="1">
      <c r="A112" s="81"/>
      <c r="B112" s="35" t="s">
        <v>283</v>
      </c>
      <c r="C112" s="15" t="s">
        <v>78</v>
      </c>
      <c r="D112" s="34"/>
      <c r="E112" s="34">
        <v>1</v>
      </c>
      <c r="F112" s="34">
        <v>1</v>
      </c>
      <c r="G112" s="34">
        <v>1</v>
      </c>
      <c r="H112" s="34"/>
      <c r="I112" s="34"/>
      <c r="J112" s="34"/>
      <c r="K112" s="34"/>
      <c r="L112" s="34">
        <v>1</v>
      </c>
      <c r="M112" s="34">
        <v>1</v>
      </c>
      <c r="N112" s="34">
        <v>1</v>
      </c>
      <c r="O112" s="34">
        <v>1</v>
      </c>
      <c r="P112" s="34">
        <v>1</v>
      </c>
      <c r="Q112" s="34"/>
      <c r="R112" s="15"/>
    </row>
    <row r="113" spans="1:18" ht="48" customHeight="1">
      <c r="A113" s="81" t="s">
        <v>284</v>
      </c>
      <c r="B113" s="35" t="s">
        <v>285</v>
      </c>
      <c r="C113" s="15" t="s">
        <v>78</v>
      </c>
      <c r="D113" s="34"/>
      <c r="E113" s="34">
        <v>9</v>
      </c>
      <c r="F113" s="34">
        <v>9</v>
      </c>
      <c r="G113" s="34">
        <v>9</v>
      </c>
      <c r="H113" s="34"/>
      <c r="I113" s="34"/>
      <c r="J113" s="34"/>
      <c r="K113" s="34"/>
      <c r="L113" s="34">
        <v>9</v>
      </c>
      <c r="M113" s="34">
        <v>9</v>
      </c>
      <c r="N113" s="34">
        <v>9</v>
      </c>
      <c r="O113" s="34">
        <v>9</v>
      </c>
      <c r="P113" s="34">
        <v>9</v>
      </c>
      <c r="Q113" s="34"/>
      <c r="R113" s="15"/>
    </row>
    <row r="114" spans="1:18" ht="15.75">
      <c r="A114" s="81" t="s">
        <v>208</v>
      </c>
      <c r="B114" s="162" t="s">
        <v>650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</row>
    <row r="115" spans="1:18" s="55" customFormat="1" ht="18.75" customHeight="1">
      <c r="A115" s="82" t="s">
        <v>286</v>
      </c>
      <c r="B115" s="164" t="s">
        <v>519</v>
      </c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1:18" ht="81.75" customHeight="1">
      <c r="A116" s="81" t="s">
        <v>287</v>
      </c>
      <c r="B116" s="35" t="s">
        <v>595</v>
      </c>
      <c r="C116" s="15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15"/>
    </row>
    <row r="117" spans="1:18" ht="25.5">
      <c r="A117" s="81"/>
      <c r="B117" s="19" t="s">
        <v>288</v>
      </c>
      <c r="C117" s="15" t="s">
        <v>289</v>
      </c>
      <c r="D117" s="34"/>
      <c r="E117" s="34">
        <v>45.23</v>
      </c>
      <c r="F117" s="34">
        <v>45.232</v>
      </c>
      <c r="G117" s="34">
        <v>45.232</v>
      </c>
      <c r="H117" s="34">
        <v>45.232</v>
      </c>
      <c r="I117" s="34">
        <v>45.232</v>
      </c>
      <c r="J117" s="34">
        <v>45.232</v>
      </c>
      <c r="K117" s="34">
        <v>45.232</v>
      </c>
      <c r="L117" s="34">
        <v>45.232</v>
      </c>
      <c r="M117" s="34">
        <v>45.232</v>
      </c>
      <c r="N117" s="34">
        <v>45.232</v>
      </c>
      <c r="O117" s="34">
        <v>45.232</v>
      </c>
      <c r="P117" s="34">
        <v>45.232</v>
      </c>
      <c r="Q117" s="34"/>
      <c r="R117" s="15"/>
    </row>
    <row r="118" spans="1:18" ht="25.5">
      <c r="A118" s="81"/>
      <c r="B118" s="19" t="s">
        <v>290</v>
      </c>
      <c r="C118" s="15" t="s">
        <v>289</v>
      </c>
      <c r="D118" s="34"/>
      <c r="E118" s="34">
        <v>45.23</v>
      </c>
      <c r="F118" s="34">
        <v>45.232</v>
      </c>
      <c r="G118" s="34">
        <v>45.232</v>
      </c>
      <c r="H118" s="34" t="s">
        <v>277</v>
      </c>
      <c r="I118" s="34" t="s">
        <v>277</v>
      </c>
      <c r="J118" s="34">
        <v>45.232</v>
      </c>
      <c r="K118" s="34">
        <v>45.232</v>
      </c>
      <c r="L118" s="34">
        <v>45.232</v>
      </c>
      <c r="M118" s="34">
        <v>45.232</v>
      </c>
      <c r="N118" s="34">
        <v>45.232</v>
      </c>
      <c r="O118" s="34">
        <v>45.232</v>
      </c>
      <c r="P118" s="34">
        <v>45.232</v>
      </c>
      <c r="Q118" s="34"/>
      <c r="R118" s="15"/>
    </row>
    <row r="119" spans="1:18" ht="15.75" hidden="1">
      <c r="A119" s="81" t="s">
        <v>291</v>
      </c>
      <c r="B119" s="162" t="s">
        <v>644</v>
      </c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</row>
    <row r="120" spans="1:18" ht="15.75" hidden="1">
      <c r="A120" s="81" t="s">
        <v>292</v>
      </c>
      <c r="B120" s="162" t="s">
        <v>645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</row>
    <row r="121" spans="1:18" ht="77.25" hidden="1">
      <c r="A121" s="81" t="s">
        <v>293</v>
      </c>
      <c r="B121" s="35" t="s">
        <v>294</v>
      </c>
      <c r="C121" s="15" t="s">
        <v>78</v>
      </c>
      <c r="D121" s="34"/>
      <c r="E121" s="34">
        <v>0</v>
      </c>
      <c r="F121" s="34">
        <v>0</v>
      </c>
      <c r="G121" s="34">
        <v>0</v>
      </c>
      <c r="H121" s="34" t="s">
        <v>277</v>
      </c>
      <c r="I121" s="34" t="s">
        <v>277</v>
      </c>
      <c r="J121" s="34" t="s">
        <v>277</v>
      </c>
      <c r="K121" s="34" t="s">
        <v>277</v>
      </c>
      <c r="L121" s="34">
        <v>2</v>
      </c>
      <c r="M121" s="34">
        <v>0</v>
      </c>
      <c r="N121" s="34">
        <v>2</v>
      </c>
      <c r="O121" s="34">
        <v>0</v>
      </c>
      <c r="P121" s="34">
        <v>2</v>
      </c>
      <c r="Q121" s="34">
        <v>2</v>
      </c>
      <c r="R121" s="15"/>
    </row>
    <row r="122" spans="1:18" ht="51.75" hidden="1">
      <c r="A122" s="81" t="s">
        <v>295</v>
      </c>
      <c r="B122" s="35" t="s">
        <v>296</v>
      </c>
      <c r="C122" s="15" t="s">
        <v>78</v>
      </c>
      <c r="D122" s="34"/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1</v>
      </c>
      <c r="R122" s="15"/>
    </row>
    <row r="123" spans="1:18" ht="15.75">
      <c r="A123" s="82" t="s">
        <v>291</v>
      </c>
      <c r="B123" s="165" t="s">
        <v>651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</row>
    <row r="124" spans="1:18" ht="24.75" customHeight="1">
      <c r="A124" s="81" t="s">
        <v>292</v>
      </c>
      <c r="B124" s="164" t="s">
        <v>520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</row>
    <row r="125" spans="1:18" ht="87" customHeight="1">
      <c r="A125" s="81" t="s">
        <v>293</v>
      </c>
      <c r="B125" s="17" t="s">
        <v>297</v>
      </c>
      <c r="C125" s="15" t="s">
        <v>78</v>
      </c>
      <c r="D125" s="34"/>
      <c r="E125" s="75">
        <v>1</v>
      </c>
      <c r="F125" s="75">
        <v>1</v>
      </c>
      <c r="G125" s="75">
        <v>1</v>
      </c>
      <c r="H125" s="75"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34"/>
      <c r="R125" s="15"/>
    </row>
    <row r="126" spans="1:18" ht="74.25" customHeight="1">
      <c r="A126" s="81" t="s">
        <v>295</v>
      </c>
      <c r="B126" s="17" t="s">
        <v>296</v>
      </c>
      <c r="C126" s="15" t="s">
        <v>78</v>
      </c>
      <c r="D126" s="34"/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34"/>
      <c r="R126" s="15"/>
    </row>
    <row r="127" spans="1:18" ht="16.5" customHeight="1">
      <c r="A127" s="81" t="s">
        <v>298</v>
      </c>
      <c r="B127" s="166" t="s">
        <v>652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</row>
    <row r="128" spans="1:18" ht="18.75" customHeight="1">
      <c r="A128" s="81" t="s">
        <v>299</v>
      </c>
      <c r="B128" s="163" t="s">
        <v>521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</row>
    <row r="129" spans="1:18" ht="63.75" customHeight="1">
      <c r="A129" s="81" t="s">
        <v>300</v>
      </c>
      <c r="B129" s="17" t="s">
        <v>301</v>
      </c>
      <c r="C129" s="15" t="s">
        <v>78</v>
      </c>
      <c r="D129" s="34"/>
      <c r="E129" s="75">
        <v>9</v>
      </c>
      <c r="F129" s="75">
        <v>5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34"/>
      <c r="R129" s="15"/>
    </row>
    <row r="130" spans="1:18" ht="30.75" customHeight="1">
      <c r="A130" s="167" t="s">
        <v>721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</row>
    <row r="131" spans="1:18" ht="15.75">
      <c r="A131" s="50">
        <v>1</v>
      </c>
      <c r="B131" s="162" t="s">
        <v>653</v>
      </c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</row>
    <row r="132" spans="1:18" ht="13.5" customHeight="1">
      <c r="A132" s="50" t="s">
        <v>164</v>
      </c>
      <c r="B132" s="162" t="s">
        <v>654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</row>
    <row r="133" spans="1:18" s="55" customFormat="1" ht="15.75">
      <c r="A133" s="41" t="s">
        <v>246</v>
      </c>
      <c r="B133" s="164" t="s">
        <v>522</v>
      </c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</row>
    <row r="134" spans="1:18" ht="63" customHeight="1">
      <c r="A134" s="50" t="s">
        <v>274</v>
      </c>
      <c r="B134" s="35" t="s">
        <v>375</v>
      </c>
      <c r="C134" s="15" t="s">
        <v>276</v>
      </c>
      <c r="D134" s="34"/>
      <c r="E134" s="34">
        <v>1</v>
      </c>
      <c r="F134" s="34">
        <v>1</v>
      </c>
      <c r="G134" s="34">
        <v>1</v>
      </c>
      <c r="H134" s="34">
        <v>1</v>
      </c>
      <c r="I134" s="34">
        <v>1</v>
      </c>
      <c r="J134" s="34">
        <v>1</v>
      </c>
      <c r="K134" s="34">
        <v>1</v>
      </c>
      <c r="L134" s="34">
        <v>1</v>
      </c>
      <c r="M134" s="34">
        <v>1</v>
      </c>
      <c r="N134" s="34">
        <v>1</v>
      </c>
      <c r="O134" s="34">
        <v>1</v>
      </c>
      <c r="P134" s="34">
        <v>1</v>
      </c>
      <c r="Q134" s="34"/>
      <c r="R134" s="15"/>
    </row>
    <row r="135" spans="1:18" ht="39" customHeight="1">
      <c r="A135" s="50" t="s">
        <v>284</v>
      </c>
      <c r="B135" s="17" t="s">
        <v>376</v>
      </c>
      <c r="C135" s="15" t="s">
        <v>78</v>
      </c>
      <c r="D135" s="34"/>
      <c r="E135" s="34">
        <v>1520</v>
      </c>
      <c r="F135" s="34">
        <v>1712</v>
      </c>
      <c r="G135" s="34">
        <v>1712</v>
      </c>
      <c r="H135" s="34">
        <v>531</v>
      </c>
      <c r="I135" s="34">
        <v>531</v>
      </c>
      <c r="J135" s="34">
        <v>937</v>
      </c>
      <c r="K135" s="34">
        <v>937</v>
      </c>
      <c r="L135" s="34">
        <f>937+338</f>
        <v>1275</v>
      </c>
      <c r="M135" s="34">
        <f>937+338</f>
        <v>1275</v>
      </c>
      <c r="N135" s="34">
        <v>1712</v>
      </c>
      <c r="O135" s="34">
        <v>2035</v>
      </c>
      <c r="P135" s="34">
        <v>1712</v>
      </c>
      <c r="Q135" s="34"/>
      <c r="R135" s="15"/>
    </row>
    <row r="136" spans="1:18" ht="15.75">
      <c r="A136" s="50" t="s">
        <v>208</v>
      </c>
      <c r="B136" s="162" t="s">
        <v>655</v>
      </c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</row>
    <row r="137" spans="1:18" s="55" customFormat="1" ht="17.25" customHeight="1">
      <c r="A137" s="41" t="s">
        <v>286</v>
      </c>
      <c r="B137" s="164" t="s">
        <v>523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</row>
    <row r="138" spans="1:18" ht="63.75" customHeight="1">
      <c r="A138" s="50" t="s">
        <v>287</v>
      </c>
      <c r="B138" s="17" t="s">
        <v>377</v>
      </c>
      <c r="C138" s="15" t="s">
        <v>78</v>
      </c>
      <c r="D138" s="34"/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/>
      <c r="R138" s="15"/>
    </row>
    <row r="139" spans="1:18" ht="15.75">
      <c r="A139" s="50" t="s">
        <v>291</v>
      </c>
      <c r="B139" s="162" t="s">
        <v>656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</row>
    <row r="140" spans="1:18" s="55" customFormat="1" ht="15.75">
      <c r="A140" s="41" t="s">
        <v>292</v>
      </c>
      <c r="B140" s="164" t="s">
        <v>524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</row>
    <row r="141" spans="1:18" s="55" customFormat="1" ht="52.5" customHeight="1">
      <c r="A141" s="41" t="s">
        <v>293</v>
      </c>
      <c r="B141" s="19" t="s">
        <v>378</v>
      </c>
      <c r="C141" s="15" t="s">
        <v>78</v>
      </c>
      <c r="D141" s="34"/>
      <c r="E141" s="34">
        <v>0</v>
      </c>
      <c r="F141" s="34">
        <v>1</v>
      </c>
      <c r="G141" s="34">
        <v>1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/>
      <c r="R141" s="15"/>
    </row>
    <row r="142" spans="1:18" s="55" customFormat="1" ht="52.5" customHeight="1">
      <c r="A142" s="41" t="s">
        <v>295</v>
      </c>
      <c r="B142" s="19" t="s">
        <v>379</v>
      </c>
      <c r="C142" s="15" t="s">
        <v>78</v>
      </c>
      <c r="D142" s="34"/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/>
      <c r="R142" s="15"/>
    </row>
    <row r="143" spans="1:18" ht="15.75">
      <c r="A143" s="51" t="s">
        <v>298</v>
      </c>
      <c r="B143" s="156" t="s">
        <v>657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</row>
    <row r="144" spans="1:18" s="55" customFormat="1" ht="20.25" customHeight="1">
      <c r="A144" s="88" t="s">
        <v>299</v>
      </c>
      <c r="B144" s="168" t="s">
        <v>525</v>
      </c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</row>
    <row r="145" spans="1:18" ht="89.25" customHeight="1">
      <c r="A145" s="50" t="s">
        <v>300</v>
      </c>
      <c r="B145" s="27" t="s">
        <v>380</v>
      </c>
      <c r="C145" s="16" t="s">
        <v>77</v>
      </c>
      <c r="D145" s="43"/>
      <c r="E145" s="43" t="s">
        <v>381</v>
      </c>
      <c r="F145" s="43" t="s">
        <v>381</v>
      </c>
      <c r="G145" s="43" t="s">
        <v>381</v>
      </c>
      <c r="H145" s="43" t="s">
        <v>381</v>
      </c>
      <c r="I145" s="43" t="s">
        <v>381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/>
      <c r="R145" s="15"/>
    </row>
    <row r="146" spans="1:18" ht="18" customHeight="1">
      <c r="A146" s="83" t="s">
        <v>382</v>
      </c>
      <c r="B146" s="169" t="s">
        <v>658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</row>
    <row r="147" spans="1:18" s="90" customFormat="1" ht="20.25" customHeight="1">
      <c r="A147" s="89" t="s">
        <v>383</v>
      </c>
      <c r="B147" s="168" t="s">
        <v>526</v>
      </c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</row>
    <row r="148" spans="1:18" ht="51" customHeight="1">
      <c r="A148" s="84" t="s">
        <v>384</v>
      </c>
      <c r="B148" s="27" t="s">
        <v>385</v>
      </c>
      <c r="C148" s="16" t="s">
        <v>77</v>
      </c>
      <c r="D148" s="43"/>
      <c r="E148" s="43" t="s">
        <v>386</v>
      </c>
      <c r="F148" s="43" t="s">
        <v>381</v>
      </c>
      <c r="G148" s="43" t="s">
        <v>381</v>
      </c>
      <c r="H148" s="43" t="s">
        <v>381</v>
      </c>
      <c r="I148" s="43" t="s">
        <v>381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/>
      <c r="R148" s="15"/>
    </row>
    <row r="149" spans="1:18" ht="16.5" customHeight="1">
      <c r="A149" s="84"/>
      <c r="B149" s="118" t="s">
        <v>387</v>
      </c>
      <c r="C149" s="16" t="s">
        <v>77</v>
      </c>
      <c r="D149" s="43"/>
      <c r="E149" s="43" t="s">
        <v>386</v>
      </c>
      <c r="F149" s="43" t="s">
        <v>381</v>
      </c>
      <c r="G149" s="43" t="s">
        <v>381</v>
      </c>
      <c r="H149" s="43" t="s">
        <v>381</v>
      </c>
      <c r="I149" s="43" t="s">
        <v>381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/>
      <c r="R149" s="15"/>
    </row>
    <row r="150" spans="1:18" ht="17.25" customHeight="1">
      <c r="A150" s="84"/>
      <c r="B150" s="118" t="s">
        <v>388</v>
      </c>
      <c r="C150" s="16" t="s">
        <v>77</v>
      </c>
      <c r="D150" s="43"/>
      <c r="E150" s="43" t="s">
        <v>386</v>
      </c>
      <c r="F150" s="43" t="s">
        <v>381</v>
      </c>
      <c r="G150" s="43" t="s">
        <v>381</v>
      </c>
      <c r="H150" s="43" t="s">
        <v>381</v>
      </c>
      <c r="I150" s="43" t="s">
        <v>381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/>
      <c r="R150" s="15"/>
    </row>
    <row r="151" spans="1:18" ht="31.5" customHeight="1">
      <c r="A151" s="84"/>
      <c r="B151" s="118" t="s">
        <v>389</v>
      </c>
      <c r="C151" s="16" t="s">
        <v>77</v>
      </c>
      <c r="D151" s="43"/>
      <c r="E151" s="43" t="s">
        <v>386</v>
      </c>
      <c r="F151" s="43" t="s">
        <v>381</v>
      </c>
      <c r="G151" s="43"/>
      <c r="H151" s="43" t="s">
        <v>381</v>
      </c>
      <c r="I151" s="43" t="s">
        <v>381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/>
      <c r="R151" s="15"/>
    </row>
    <row r="152" spans="1:18" ht="78" customHeight="1">
      <c r="A152" s="84" t="s">
        <v>390</v>
      </c>
      <c r="B152" s="27" t="s">
        <v>391</v>
      </c>
      <c r="C152" s="16" t="s">
        <v>78</v>
      </c>
      <c r="D152" s="43"/>
      <c r="E152" s="43" t="s">
        <v>392</v>
      </c>
      <c r="F152" s="43" t="s">
        <v>393</v>
      </c>
      <c r="G152" s="43" t="s">
        <v>381</v>
      </c>
      <c r="H152" s="43" t="s">
        <v>381</v>
      </c>
      <c r="I152" s="43" t="s">
        <v>381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/>
      <c r="R152" s="15"/>
    </row>
    <row r="153" spans="1:18" ht="39.75" customHeight="1">
      <c r="A153" s="84" t="s">
        <v>394</v>
      </c>
      <c r="B153" s="27" t="s">
        <v>395</v>
      </c>
      <c r="C153" s="16" t="s">
        <v>78</v>
      </c>
      <c r="D153" s="43"/>
      <c r="E153" s="43" t="s">
        <v>396</v>
      </c>
      <c r="F153" s="43" t="s">
        <v>596</v>
      </c>
      <c r="G153" s="43" t="s">
        <v>381</v>
      </c>
      <c r="H153" s="43" t="s">
        <v>381</v>
      </c>
      <c r="I153" s="43" t="s">
        <v>381</v>
      </c>
      <c r="J153" s="43" t="s">
        <v>381</v>
      </c>
      <c r="K153" s="43" t="s">
        <v>381</v>
      </c>
      <c r="L153" s="43" t="s">
        <v>381</v>
      </c>
      <c r="M153" s="43" t="s">
        <v>381</v>
      </c>
      <c r="N153" s="34">
        <v>0</v>
      </c>
      <c r="O153" s="34">
        <v>0</v>
      </c>
      <c r="P153" s="34">
        <v>0</v>
      </c>
      <c r="Q153" s="34"/>
      <c r="R153" s="15"/>
    </row>
    <row r="154" spans="1:18" ht="31.5" customHeight="1">
      <c r="A154" s="84" t="s">
        <v>397</v>
      </c>
      <c r="B154" s="169" t="s">
        <v>659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</row>
    <row r="155" spans="1:18" ht="33" customHeight="1">
      <c r="A155" s="84" t="s">
        <v>398</v>
      </c>
      <c r="B155" s="170" t="s">
        <v>527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</row>
    <row r="156" spans="1:18" ht="102" customHeight="1">
      <c r="A156" s="84" t="s">
        <v>399</v>
      </c>
      <c r="B156" s="27" t="s">
        <v>400</v>
      </c>
      <c r="C156" s="16" t="s">
        <v>77</v>
      </c>
      <c r="D156" s="43"/>
      <c r="E156" s="43" t="s">
        <v>386</v>
      </c>
      <c r="F156" s="43" t="s">
        <v>386</v>
      </c>
      <c r="G156" s="43" t="s">
        <v>381</v>
      </c>
      <c r="H156" s="43" t="s">
        <v>381</v>
      </c>
      <c r="I156" s="43" t="s">
        <v>381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/>
      <c r="R156" s="15"/>
    </row>
    <row r="157" spans="1:18" ht="35.25" customHeight="1">
      <c r="A157" s="84" t="s">
        <v>401</v>
      </c>
      <c r="B157" s="171" t="s">
        <v>660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</row>
    <row r="158" spans="1:18" s="55" customFormat="1" ht="28.5" customHeight="1">
      <c r="A158" s="88" t="s">
        <v>402</v>
      </c>
      <c r="B158" s="168" t="s">
        <v>528</v>
      </c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</row>
    <row r="159" spans="1:18" ht="47.25" customHeight="1">
      <c r="A159" s="84" t="s">
        <v>403</v>
      </c>
      <c r="B159" s="28" t="s">
        <v>404</v>
      </c>
      <c r="C159" s="16" t="s">
        <v>78</v>
      </c>
      <c r="D159" s="43"/>
      <c r="E159" s="43" t="s">
        <v>405</v>
      </c>
      <c r="F159" s="43" t="s">
        <v>381</v>
      </c>
      <c r="G159" s="43" t="s">
        <v>381</v>
      </c>
      <c r="H159" s="43" t="s">
        <v>381</v>
      </c>
      <c r="I159" s="43" t="s">
        <v>381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f>-J471</f>
        <v>0</v>
      </c>
      <c r="Q159" s="34"/>
      <c r="R159" s="15"/>
    </row>
    <row r="160" spans="1:18" ht="26.25" customHeight="1">
      <c r="A160" s="84" t="s">
        <v>406</v>
      </c>
      <c r="B160" s="171" t="s">
        <v>661</v>
      </c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</row>
    <row r="161" spans="1:18" s="55" customFormat="1" ht="24" customHeight="1">
      <c r="A161" s="88" t="s">
        <v>407</v>
      </c>
      <c r="B161" s="168" t="s">
        <v>529</v>
      </c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</row>
    <row r="162" spans="1:18" ht="37.5" customHeight="1">
      <c r="A162" s="84" t="s">
        <v>408</v>
      </c>
      <c r="B162" s="27" t="s">
        <v>409</v>
      </c>
      <c r="C162" s="16" t="s">
        <v>78</v>
      </c>
      <c r="D162" s="43"/>
      <c r="E162" s="43" t="s">
        <v>381</v>
      </c>
      <c r="F162" s="43" t="s">
        <v>412</v>
      </c>
      <c r="G162" s="43" t="s">
        <v>381</v>
      </c>
      <c r="H162" s="43" t="s">
        <v>381</v>
      </c>
      <c r="I162" s="43" t="s">
        <v>381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/>
      <c r="R162" s="15"/>
    </row>
    <row r="163" spans="1:18" ht="64.5" customHeight="1">
      <c r="A163" s="84" t="s">
        <v>410</v>
      </c>
      <c r="B163" s="27" t="s">
        <v>411</v>
      </c>
      <c r="C163" s="16" t="s">
        <v>78</v>
      </c>
      <c r="D163" s="43"/>
      <c r="E163" s="43" t="s">
        <v>381</v>
      </c>
      <c r="F163" s="43" t="s">
        <v>381</v>
      </c>
      <c r="G163" s="43" t="s">
        <v>381</v>
      </c>
      <c r="H163" s="43" t="s">
        <v>381</v>
      </c>
      <c r="I163" s="43" t="s">
        <v>381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/>
      <c r="R163" s="15"/>
    </row>
    <row r="164" spans="1:18" ht="30.75" customHeight="1">
      <c r="A164" s="84" t="s">
        <v>413</v>
      </c>
      <c r="B164" s="27" t="s">
        <v>414</v>
      </c>
      <c r="C164" s="16" t="s">
        <v>415</v>
      </c>
      <c r="D164" s="43"/>
      <c r="E164" s="43" t="s">
        <v>381</v>
      </c>
      <c r="F164" s="43" t="s">
        <v>416</v>
      </c>
      <c r="G164" s="43" t="s">
        <v>381</v>
      </c>
      <c r="H164" s="43" t="s">
        <v>381</v>
      </c>
      <c r="I164" s="43" t="s">
        <v>381</v>
      </c>
      <c r="J164" s="43" t="s">
        <v>381</v>
      </c>
      <c r="K164" s="43" t="s">
        <v>381</v>
      </c>
      <c r="L164" s="43" t="s">
        <v>381</v>
      </c>
      <c r="M164" s="43" t="s">
        <v>381</v>
      </c>
      <c r="N164" s="34">
        <v>0</v>
      </c>
      <c r="O164" s="34">
        <v>0</v>
      </c>
      <c r="P164" s="34">
        <v>0</v>
      </c>
      <c r="Q164" s="34"/>
      <c r="R164" s="15"/>
    </row>
    <row r="165" spans="1:18" ht="33" customHeight="1">
      <c r="A165" s="85" t="s">
        <v>417</v>
      </c>
      <c r="B165" s="171" t="s">
        <v>662</v>
      </c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</row>
    <row r="166" spans="1:18" s="90" customFormat="1" ht="44.25" customHeight="1">
      <c r="A166" s="91" t="s">
        <v>418</v>
      </c>
      <c r="B166" s="168" t="s">
        <v>530</v>
      </c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</row>
    <row r="167" spans="1:18" ht="144" customHeight="1">
      <c r="A167" s="84" t="s">
        <v>419</v>
      </c>
      <c r="B167" s="27" t="s">
        <v>420</v>
      </c>
      <c r="C167" s="16" t="s">
        <v>77</v>
      </c>
      <c r="D167" s="43"/>
      <c r="E167" s="43" t="s">
        <v>597</v>
      </c>
      <c r="F167" s="43" t="s">
        <v>381</v>
      </c>
      <c r="G167" s="43" t="s">
        <v>381</v>
      </c>
      <c r="H167" s="43" t="s">
        <v>381</v>
      </c>
      <c r="I167" s="43" t="s">
        <v>381</v>
      </c>
      <c r="J167" s="43" t="s">
        <v>381</v>
      </c>
      <c r="K167" s="43" t="s">
        <v>381</v>
      </c>
      <c r="L167" s="43" t="s">
        <v>381</v>
      </c>
      <c r="M167" s="43" t="s">
        <v>381</v>
      </c>
      <c r="N167" s="34">
        <v>0</v>
      </c>
      <c r="O167" s="34">
        <v>0</v>
      </c>
      <c r="P167" s="34">
        <v>0</v>
      </c>
      <c r="Q167" s="34"/>
      <c r="R167" s="15"/>
    </row>
    <row r="168" spans="1:18" ht="31.5" customHeight="1">
      <c r="A168" s="147" t="s">
        <v>722</v>
      </c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</row>
    <row r="169" spans="1:18" s="92" customFormat="1" ht="28.5" customHeight="1">
      <c r="A169" s="51" t="s">
        <v>188</v>
      </c>
      <c r="B169" s="162" t="s">
        <v>550</v>
      </c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</row>
    <row r="170" spans="1:18" s="92" customFormat="1" ht="24" customHeight="1">
      <c r="A170" s="56" t="s">
        <v>64</v>
      </c>
      <c r="B170" s="162" t="s">
        <v>551</v>
      </c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</row>
    <row r="171" spans="1:18" s="93" customFormat="1" ht="68.25" customHeight="1">
      <c r="A171" s="44" t="s">
        <v>65</v>
      </c>
      <c r="B171" s="17" t="s">
        <v>496</v>
      </c>
      <c r="C171" s="23" t="s">
        <v>552</v>
      </c>
      <c r="D171" s="34"/>
      <c r="E171" s="34">
        <v>61</v>
      </c>
      <c r="F171" s="34">
        <v>69</v>
      </c>
      <c r="G171" s="34">
        <v>50</v>
      </c>
      <c r="H171" s="34">
        <v>17</v>
      </c>
      <c r="I171" s="34">
        <v>9</v>
      </c>
      <c r="J171" s="34">
        <v>34</v>
      </c>
      <c r="K171" s="34">
        <v>15</v>
      </c>
      <c r="L171" s="34">
        <v>50</v>
      </c>
      <c r="M171" s="34">
        <v>22</v>
      </c>
      <c r="N171" s="34">
        <v>68</v>
      </c>
      <c r="O171" s="34">
        <v>31</v>
      </c>
      <c r="P171" s="34">
        <v>67</v>
      </c>
      <c r="Q171" s="34">
        <v>50</v>
      </c>
      <c r="R171" s="15" t="s">
        <v>553</v>
      </c>
    </row>
    <row r="172" spans="1:18" s="92" customFormat="1" ht="66.75" customHeight="1">
      <c r="A172" s="86" t="s">
        <v>191</v>
      </c>
      <c r="B172" s="17" t="s">
        <v>497</v>
      </c>
      <c r="C172" s="23" t="s">
        <v>552</v>
      </c>
      <c r="D172" s="34"/>
      <c r="E172" s="34">
        <v>6</v>
      </c>
      <c r="F172" s="34">
        <v>30</v>
      </c>
      <c r="G172" s="34">
        <v>5</v>
      </c>
      <c r="H172" s="34">
        <v>7</v>
      </c>
      <c r="I172" s="34">
        <v>3</v>
      </c>
      <c r="J172" s="34">
        <v>15</v>
      </c>
      <c r="K172" s="34">
        <v>3</v>
      </c>
      <c r="L172" s="34">
        <v>21</v>
      </c>
      <c r="M172" s="34">
        <v>5</v>
      </c>
      <c r="N172" s="34">
        <v>29</v>
      </c>
      <c r="O172" s="34">
        <v>5</v>
      </c>
      <c r="P172" s="34">
        <v>28</v>
      </c>
      <c r="Q172" s="34">
        <v>15</v>
      </c>
      <c r="R172" s="15" t="s">
        <v>553</v>
      </c>
    </row>
    <row r="173" spans="1:18" s="92" customFormat="1" ht="15.75">
      <c r="A173" s="56" t="s">
        <v>90</v>
      </c>
      <c r="B173" s="162" t="s">
        <v>554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</row>
    <row r="174" spans="1:18" s="92" customFormat="1" ht="39.75" customHeight="1">
      <c r="A174" s="44" t="s">
        <v>91</v>
      </c>
      <c r="B174" s="17" t="s">
        <v>498</v>
      </c>
      <c r="C174" s="23" t="s">
        <v>552</v>
      </c>
      <c r="D174" s="34"/>
      <c r="E174" s="34">
        <v>3</v>
      </c>
      <c r="F174" s="34">
        <v>3</v>
      </c>
      <c r="G174" s="34">
        <v>5</v>
      </c>
      <c r="H174" s="34">
        <v>0</v>
      </c>
      <c r="I174" s="34">
        <v>0</v>
      </c>
      <c r="J174" s="34">
        <v>1</v>
      </c>
      <c r="K174" s="34">
        <v>0</v>
      </c>
      <c r="L174" s="34">
        <v>1</v>
      </c>
      <c r="M174" s="34">
        <v>0</v>
      </c>
      <c r="N174" s="34">
        <v>2</v>
      </c>
      <c r="O174" s="34">
        <v>1</v>
      </c>
      <c r="P174" s="34">
        <v>1</v>
      </c>
      <c r="Q174" s="34">
        <v>1</v>
      </c>
      <c r="R174" s="15"/>
    </row>
    <row r="175" spans="1:18" s="92" customFormat="1" ht="149.25" customHeight="1">
      <c r="A175" s="86" t="s">
        <v>92</v>
      </c>
      <c r="B175" s="17" t="s">
        <v>499</v>
      </c>
      <c r="C175" s="23" t="s">
        <v>552</v>
      </c>
      <c r="D175" s="34"/>
      <c r="E175" s="34">
        <v>8</v>
      </c>
      <c r="F175" s="34">
        <v>10</v>
      </c>
      <c r="G175" s="34">
        <v>17</v>
      </c>
      <c r="H175" s="34">
        <v>2</v>
      </c>
      <c r="I175" s="34">
        <v>0</v>
      </c>
      <c r="J175" s="34">
        <v>4</v>
      </c>
      <c r="K175" s="34">
        <v>5</v>
      </c>
      <c r="L175" s="34">
        <v>6</v>
      </c>
      <c r="M175" s="34">
        <v>7</v>
      </c>
      <c r="N175" s="34">
        <v>9</v>
      </c>
      <c r="O175" s="34">
        <v>13</v>
      </c>
      <c r="P175" s="34">
        <v>10</v>
      </c>
      <c r="Q175" s="34">
        <v>10</v>
      </c>
      <c r="R175" s="15" t="s">
        <v>555</v>
      </c>
    </row>
    <row r="176" spans="1:18" s="92" customFormat="1" ht="90" customHeight="1">
      <c r="A176" s="44" t="s">
        <v>93</v>
      </c>
      <c r="B176" s="17" t="s">
        <v>500</v>
      </c>
      <c r="C176" s="23" t="s">
        <v>552</v>
      </c>
      <c r="D176" s="34"/>
      <c r="E176" s="34">
        <v>147</v>
      </c>
      <c r="F176" s="34">
        <v>147</v>
      </c>
      <c r="G176" s="34">
        <v>147</v>
      </c>
      <c r="H176" s="34">
        <v>40</v>
      </c>
      <c r="I176" s="34">
        <v>50</v>
      </c>
      <c r="J176" s="34">
        <v>74</v>
      </c>
      <c r="K176" s="34">
        <v>100</v>
      </c>
      <c r="L176" s="34">
        <v>100</v>
      </c>
      <c r="M176" s="34">
        <v>130</v>
      </c>
      <c r="N176" s="34">
        <v>147</v>
      </c>
      <c r="O176" s="34">
        <v>191</v>
      </c>
      <c r="P176" s="40">
        <v>147</v>
      </c>
      <c r="Q176" s="34">
        <v>147</v>
      </c>
      <c r="R176" s="15"/>
    </row>
    <row r="177" spans="1:18" s="93" customFormat="1" ht="51">
      <c r="A177" s="44" t="s">
        <v>556</v>
      </c>
      <c r="B177" s="19" t="s">
        <v>501</v>
      </c>
      <c r="C177" s="15" t="s">
        <v>552</v>
      </c>
      <c r="D177" s="34"/>
      <c r="E177" s="34" t="s">
        <v>557</v>
      </c>
      <c r="F177" s="34" t="s">
        <v>502</v>
      </c>
      <c r="G177" s="34" t="s">
        <v>558</v>
      </c>
      <c r="H177" s="34" t="s">
        <v>502</v>
      </c>
      <c r="I177" s="34" t="s">
        <v>558</v>
      </c>
      <c r="J177" s="34" t="s">
        <v>502</v>
      </c>
      <c r="K177" s="34" t="s">
        <v>559</v>
      </c>
      <c r="L177" s="34" t="s">
        <v>502</v>
      </c>
      <c r="M177" s="34" t="s">
        <v>560</v>
      </c>
      <c r="N177" s="34" t="s">
        <v>502</v>
      </c>
      <c r="O177" s="34" t="s">
        <v>560</v>
      </c>
      <c r="P177" s="34" t="s">
        <v>561</v>
      </c>
      <c r="Q177" s="34" t="s">
        <v>561</v>
      </c>
      <c r="R177" s="15"/>
    </row>
    <row r="178" spans="1:18" s="93" customFormat="1" ht="63.75">
      <c r="A178" s="44" t="s">
        <v>562</v>
      </c>
      <c r="B178" s="19" t="s">
        <v>503</v>
      </c>
      <c r="C178" s="15" t="s">
        <v>77</v>
      </c>
      <c r="D178" s="34"/>
      <c r="E178" s="34">
        <v>100</v>
      </c>
      <c r="F178" s="34">
        <v>100</v>
      </c>
      <c r="G178" s="34">
        <v>100</v>
      </c>
      <c r="H178" s="34">
        <v>100</v>
      </c>
      <c r="I178" s="34">
        <v>100</v>
      </c>
      <c r="J178" s="34">
        <v>100</v>
      </c>
      <c r="K178" s="34">
        <v>100</v>
      </c>
      <c r="L178" s="34">
        <v>100</v>
      </c>
      <c r="M178" s="34">
        <v>100</v>
      </c>
      <c r="N178" s="34">
        <v>100</v>
      </c>
      <c r="O178" s="34">
        <v>100</v>
      </c>
      <c r="P178" s="34">
        <v>100</v>
      </c>
      <c r="Q178" s="34">
        <v>100</v>
      </c>
      <c r="R178" s="15"/>
    </row>
    <row r="179" spans="1:18" s="92" customFormat="1" ht="15.75">
      <c r="A179" s="56" t="s">
        <v>216</v>
      </c>
      <c r="B179" s="162" t="s">
        <v>563</v>
      </c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</row>
    <row r="180" spans="1:18" s="93" customFormat="1" ht="114.75">
      <c r="A180" s="44" t="s">
        <v>218</v>
      </c>
      <c r="B180" s="19" t="s">
        <v>504</v>
      </c>
      <c r="C180" s="15" t="s">
        <v>77</v>
      </c>
      <c r="D180" s="34"/>
      <c r="E180" s="34">
        <v>60</v>
      </c>
      <c r="F180" s="34">
        <v>60</v>
      </c>
      <c r="G180" s="34">
        <v>60</v>
      </c>
      <c r="H180" s="34">
        <v>60</v>
      </c>
      <c r="I180" s="34">
        <v>60</v>
      </c>
      <c r="J180" s="34">
        <v>60</v>
      </c>
      <c r="K180" s="34">
        <v>60</v>
      </c>
      <c r="L180" s="34">
        <v>60</v>
      </c>
      <c r="M180" s="34">
        <v>60</v>
      </c>
      <c r="N180" s="34">
        <v>60</v>
      </c>
      <c r="O180" s="34">
        <v>60</v>
      </c>
      <c r="P180" s="34">
        <v>60</v>
      </c>
      <c r="Q180" s="34">
        <v>60</v>
      </c>
      <c r="R180" s="15"/>
    </row>
    <row r="181" spans="1:18" s="93" customFormat="1" ht="165.75">
      <c r="A181" s="44" t="s">
        <v>564</v>
      </c>
      <c r="B181" s="19" t="s">
        <v>505</v>
      </c>
      <c r="C181" s="15" t="s">
        <v>552</v>
      </c>
      <c r="D181" s="34"/>
      <c r="E181" s="34">
        <v>2</v>
      </c>
      <c r="F181" s="34">
        <v>4</v>
      </c>
      <c r="G181" s="34">
        <v>2</v>
      </c>
      <c r="H181" s="34">
        <v>1</v>
      </c>
      <c r="I181" s="34">
        <v>1</v>
      </c>
      <c r="J181" s="34">
        <v>2</v>
      </c>
      <c r="K181" s="34">
        <v>2</v>
      </c>
      <c r="L181" s="34">
        <v>3</v>
      </c>
      <c r="M181" s="34">
        <v>3</v>
      </c>
      <c r="N181" s="34">
        <v>4</v>
      </c>
      <c r="O181" s="34">
        <v>4</v>
      </c>
      <c r="P181" s="34">
        <v>4</v>
      </c>
      <c r="Q181" s="34">
        <v>4</v>
      </c>
      <c r="R181" s="15"/>
    </row>
    <row r="182" spans="1:18" s="22" customFormat="1" ht="31.5" customHeight="1">
      <c r="A182" s="147" t="s">
        <v>723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</row>
    <row r="183" spans="1:18" s="25" customFormat="1" ht="12.75">
      <c r="A183" s="19">
        <v>1</v>
      </c>
      <c r="B183" s="157" t="s">
        <v>516</v>
      </c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1:18" s="25" customFormat="1" ht="29.25" customHeight="1">
      <c r="A184" s="19" t="s">
        <v>164</v>
      </c>
      <c r="B184" s="157" t="s">
        <v>517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</row>
    <row r="185" spans="1:18" s="22" customFormat="1" ht="185.25" customHeight="1">
      <c r="A185" s="15" t="s">
        <v>246</v>
      </c>
      <c r="B185" s="19" t="s">
        <v>493</v>
      </c>
      <c r="C185" s="15" t="s">
        <v>494</v>
      </c>
      <c r="D185" s="15">
        <v>1</v>
      </c>
      <c r="E185" s="15">
        <v>1500</v>
      </c>
      <c r="F185" s="15">
        <v>1500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/>
    </row>
    <row r="186" spans="1:18" s="22" customFormat="1" ht="76.5" customHeight="1">
      <c r="A186" s="15" t="s">
        <v>66</v>
      </c>
      <c r="B186" s="19" t="s">
        <v>665</v>
      </c>
      <c r="C186" s="15" t="s">
        <v>494</v>
      </c>
      <c r="D186" s="15">
        <v>1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500</v>
      </c>
      <c r="M186" s="15">
        <v>500</v>
      </c>
      <c r="N186" s="15">
        <v>500</v>
      </c>
      <c r="O186" s="15">
        <v>500</v>
      </c>
      <c r="P186" s="15">
        <v>0</v>
      </c>
      <c r="Q186" s="15">
        <v>0</v>
      </c>
      <c r="R186" s="15"/>
    </row>
    <row r="187" spans="1:18" s="22" customFormat="1" ht="33.75" customHeight="1">
      <c r="A187" s="15" t="s">
        <v>250</v>
      </c>
      <c r="B187" s="19" t="s">
        <v>495</v>
      </c>
      <c r="C187" s="15" t="s">
        <v>494</v>
      </c>
      <c r="D187" s="15">
        <v>1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600</v>
      </c>
      <c r="Q187" s="15"/>
      <c r="R187" s="15"/>
    </row>
    <row r="188" spans="1:18" s="63" customFormat="1" ht="28.5" customHeight="1">
      <c r="A188" s="147" t="s">
        <v>724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</row>
    <row r="189" spans="1:18" s="63" customFormat="1" ht="30" customHeight="1">
      <c r="A189" s="34" t="s">
        <v>188</v>
      </c>
      <c r="B189" s="159" t="s">
        <v>663</v>
      </c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</row>
    <row r="190" spans="1:18" s="63" customFormat="1" ht="51.75" customHeight="1">
      <c r="A190" s="43" t="s">
        <v>64</v>
      </c>
      <c r="B190" s="159" t="s">
        <v>664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</row>
    <row r="191" spans="1:18" s="63" customFormat="1" ht="81.75" customHeight="1">
      <c r="A191" s="43" t="s">
        <v>65</v>
      </c>
      <c r="B191" s="19" t="s">
        <v>548</v>
      </c>
      <c r="C191" s="70" t="s">
        <v>78</v>
      </c>
      <c r="D191" s="87">
        <v>1</v>
      </c>
      <c r="E191" s="43" t="s">
        <v>381</v>
      </c>
      <c r="F191" s="43" t="s">
        <v>381</v>
      </c>
      <c r="G191" s="43" t="s">
        <v>381</v>
      </c>
      <c r="H191" s="43" t="s">
        <v>381</v>
      </c>
      <c r="I191" s="43" t="s">
        <v>381</v>
      </c>
      <c r="J191" s="43" t="s">
        <v>381</v>
      </c>
      <c r="K191" s="43" t="s">
        <v>381</v>
      </c>
      <c r="L191" s="43" t="s">
        <v>381</v>
      </c>
      <c r="M191" s="43" t="s">
        <v>381</v>
      </c>
      <c r="N191" s="34">
        <v>2</v>
      </c>
      <c r="O191" s="34">
        <v>2</v>
      </c>
      <c r="P191" s="43" t="s">
        <v>381</v>
      </c>
      <c r="Q191" s="43" t="s">
        <v>381</v>
      </c>
      <c r="R191" s="15"/>
    </row>
    <row r="192" spans="1:18" s="63" customFormat="1" ht="25.5">
      <c r="A192" s="43" t="s">
        <v>191</v>
      </c>
      <c r="B192" s="19" t="s">
        <v>549</v>
      </c>
      <c r="C192" s="70" t="s">
        <v>78</v>
      </c>
      <c r="D192" s="87">
        <v>1</v>
      </c>
      <c r="E192" s="43" t="s">
        <v>381</v>
      </c>
      <c r="F192" s="43" t="s">
        <v>381</v>
      </c>
      <c r="G192" s="43" t="s">
        <v>381</v>
      </c>
      <c r="H192" s="43" t="s">
        <v>381</v>
      </c>
      <c r="I192" s="43" t="s">
        <v>381</v>
      </c>
      <c r="J192" s="43" t="s">
        <v>381</v>
      </c>
      <c r="K192" s="43" t="s">
        <v>381</v>
      </c>
      <c r="L192" s="43" t="s">
        <v>381</v>
      </c>
      <c r="M192" s="43" t="s">
        <v>381</v>
      </c>
      <c r="N192" s="43" t="s">
        <v>381</v>
      </c>
      <c r="O192" s="43" t="s">
        <v>381</v>
      </c>
      <c r="P192" s="76">
        <v>1</v>
      </c>
      <c r="Q192" s="43" t="s">
        <v>381</v>
      </c>
      <c r="R192" s="15"/>
    </row>
    <row r="193" spans="1:18" s="63" customFormat="1" ht="34.5" customHeight="1">
      <c r="A193" s="43" t="s">
        <v>67</v>
      </c>
      <c r="B193" s="19" t="s">
        <v>549</v>
      </c>
      <c r="C193" s="70" t="s">
        <v>195</v>
      </c>
      <c r="D193" s="87">
        <v>1</v>
      </c>
      <c r="E193" s="43" t="s">
        <v>381</v>
      </c>
      <c r="F193" s="43" t="s">
        <v>381</v>
      </c>
      <c r="G193" s="43" t="s">
        <v>381</v>
      </c>
      <c r="H193" s="43" t="s">
        <v>381</v>
      </c>
      <c r="I193" s="43" t="s">
        <v>381</v>
      </c>
      <c r="J193" s="43" t="s">
        <v>381</v>
      </c>
      <c r="K193" s="43" t="s">
        <v>381</v>
      </c>
      <c r="L193" s="43" t="s">
        <v>381</v>
      </c>
      <c r="M193" s="43" t="s">
        <v>381</v>
      </c>
      <c r="N193" s="43" t="s">
        <v>381</v>
      </c>
      <c r="O193" s="43" t="s">
        <v>381</v>
      </c>
      <c r="P193" s="43" t="s">
        <v>381</v>
      </c>
      <c r="Q193" s="34">
        <v>1</v>
      </c>
      <c r="R193" s="15"/>
    </row>
    <row r="194" spans="1:18" s="73" customFormat="1" ht="16.5" customHeight="1">
      <c r="A194" s="147" t="s">
        <v>725</v>
      </c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</row>
    <row r="195" spans="1:18" s="1" customFormat="1" ht="34.5" customHeight="1">
      <c r="A195" s="131">
        <v>1</v>
      </c>
      <c r="B195" s="149" t="s">
        <v>708</v>
      </c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1"/>
    </row>
    <row r="196" spans="1:18" s="1" customFormat="1" ht="15.75">
      <c r="A196" s="131" t="s">
        <v>164</v>
      </c>
      <c r="B196" s="149" t="s">
        <v>709</v>
      </c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1"/>
    </row>
    <row r="197" spans="1:18" s="120" customFormat="1" ht="157.5" customHeight="1">
      <c r="A197" s="119" t="s">
        <v>246</v>
      </c>
      <c r="B197" s="132" t="s">
        <v>706</v>
      </c>
      <c r="C197" s="121" t="s">
        <v>190</v>
      </c>
      <c r="D197" s="130"/>
      <c r="E197" s="130">
        <v>0</v>
      </c>
      <c r="F197" s="130">
        <v>0</v>
      </c>
      <c r="G197" s="130">
        <v>0</v>
      </c>
      <c r="H197" s="130">
        <v>0</v>
      </c>
      <c r="I197" s="130">
        <v>0</v>
      </c>
      <c r="J197" s="130">
        <v>0</v>
      </c>
      <c r="K197" s="130">
        <v>0</v>
      </c>
      <c r="L197" s="130">
        <v>0</v>
      </c>
      <c r="M197" s="130">
        <v>0</v>
      </c>
      <c r="N197" s="130">
        <v>0</v>
      </c>
      <c r="O197" s="130">
        <v>0</v>
      </c>
      <c r="P197" s="130">
        <v>0</v>
      </c>
      <c r="Q197" s="130">
        <v>0</v>
      </c>
      <c r="R197" s="145" t="s">
        <v>705</v>
      </c>
    </row>
    <row r="198" spans="1:18" s="120" customFormat="1" ht="313.5" customHeight="1">
      <c r="A198" s="119" t="s">
        <v>66</v>
      </c>
      <c r="B198" s="132" t="s">
        <v>707</v>
      </c>
      <c r="C198" s="121" t="s">
        <v>190</v>
      </c>
      <c r="D198" s="130"/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0">
        <v>0</v>
      </c>
      <c r="R198" s="146"/>
    </row>
    <row r="199" spans="1:18" s="120" customFormat="1" ht="33" customHeight="1">
      <c r="A199" s="126"/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9"/>
    </row>
    <row r="200" spans="1:18" s="109" customFormat="1" ht="15.75">
      <c r="A200" s="110" t="s">
        <v>702</v>
      </c>
      <c r="B200" s="105"/>
      <c r="C200" s="106"/>
      <c r="D200" s="57"/>
      <c r="E200" s="57"/>
      <c r="F200" s="57"/>
      <c r="G200" s="57"/>
      <c r="L200" s="108"/>
      <c r="M200" s="57"/>
      <c r="N200" s="57"/>
      <c r="O200" s="57"/>
      <c r="P200" s="57"/>
      <c r="Q200" s="57"/>
      <c r="R200" s="30"/>
    </row>
    <row r="201" spans="1:12" ht="15.75">
      <c r="A201" s="110" t="s">
        <v>703</v>
      </c>
      <c r="H201" s="107"/>
      <c r="I201" s="107"/>
      <c r="J201" s="107"/>
      <c r="K201" s="107"/>
      <c r="L201" s="108" t="s">
        <v>704</v>
      </c>
    </row>
    <row r="203" ht="15.75">
      <c r="B203" s="25" t="s">
        <v>532</v>
      </c>
    </row>
    <row r="206" ht="15.75">
      <c r="B206" s="37"/>
    </row>
  </sheetData>
  <sheetProtection/>
  <mergeCells count="98">
    <mergeCell ref="B189:R189"/>
    <mergeCell ref="B190:R190"/>
    <mergeCell ref="A182:R182"/>
    <mergeCell ref="B183:R183"/>
    <mergeCell ref="B184:R184"/>
    <mergeCell ref="A1:R1"/>
    <mergeCell ref="B179:R179"/>
    <mergeCell ref="B65:Q65"/>
    <mergeCell ref="B66:Q66"/>
    <mergeCell ref="A79:R79"/>
    <mergeCell ref="B173:R173"/>
    <mergeCell ref="B165:R165"/>
    <mergeCell ref="B166:R166"/>
    <mergeCell ref="A168:R168"/>
    <mergeCell ref="B169:R169"/>
    <mergeCell ref="B170:R170"/>
    <mergeCell ref="B158:R158"/>
    <mergeCell ref="B160:R160"/>
    <mergeCell ref="B161:R161"/>
    <mergeCell ref="B80:R80"/>
    <mergeCell ref="B81:R81"/>
    <mergeCell ref="B82:R82"/>
    <mergeCell ref="B90:R90"/>
    <mergeCell ref="B94:R94"/>
    <mergeCell ref="B144:R144"/>
    <mergeCell ref="B146:R146"/>
    <mergeCell ref="B147:R147"/>
    <mergeCell ref="B154:R154"/>
    <mergeCell ref="B155:R155"/>
    <mergeCell ref="B157:R157"/>
    <mergeCell ref="B133:R133"/>
    <mergeCell ref="B136:R136"/>
    <mergeCell ref="B137:R137"/>
    <mergeCell ref="B139:R139"/>
    <mergeCell ref="B140:R140"/>
    <mergeCell ref="B143:R143"/>
    <mergeCell ref="B124:R124"/>
    <mergeCell ref="B127:R127"/>
    <mergeCell ref="B128:R128"/>
    <mergeCell ref="A130:R130"/>
    <mergeCell ref="B131:R131"/>
    <mergeCell ref="B132:R132"/>
    <mergeCell ref="B105:R105"/>
    <mergeCell ref="B114:R114"/>
    <mergeCell ref="B115:R115"/>
    <mergeCell ref="B119:R119"/>
    <mergeCell ref="B120:R120"/>
    <mergeCell ref="B123:R123"/>
    <mergeCell ref="R106:R111"/>
    <mergeCell ref="B104:R104"/>
    <mergeCell ref="B49:R49"/>
    <mergeCell ref="B54:R54"/>
    <mergeCell ref="B58:R58"/>
    <mergeCell ref="B59:J59"/>
    <mergeCell ref="B62:Q62"/>
    <mergeCell ref="B42:R42"/>
    <mergeCell ref="B43:R43"/>
    <mergeCell ref="B48:R48"/>
    <mergeCell ref="A64:R64"/>
    <mergeCell ref="A102:R102"/>
    <mergeCell ref="B103:R103"/>
    <mergeCell ref="E2:G2"/>
    <mergeCell ref="P2:Q2"/>
    <mergeCell ref="B35:R35"/>
    <mergeCell ref="B27:R27"/>
    <mergeCell ref="B29:R29"/>
    <mergeCell ref="B32:R32"/>
    <mergeCell ref="B33:R33"/>
    <mergeCell ref="R2:R4"/>
    <mergeCell ref="A5:R5"/>
    <mergeCell ref="P3:P4"/>
    <mergeCell ref="Q3:Q4"/>
    <mergeCell ref="H3:I3"/>
    <mergeCell ref="J3:K3"/>
    <mergeCell ref="C2:C4"/>
    <mergeCell ref="B2:B4"/>
    <mergeCell ref="H2:O2"/>
    <mergeCell ref="L3:M3"/>
    <mergeCell ref="F3:G3"/>
    <mergeCell ref="B24:R24"/>
    <mergeCell ref="B25:R25"/>
    <mergeCell ref="A2:A4"/>
    <mergeCell ref="N3:O3"/>
    <mergeCell ref="B19:R19"/>
    <mergeCell ref="B6:R6"/>
    <mergeCell ref="B7:R7"/>
    <mergeCell ref="B8:R8"/>
    <mergeCell ref="D2:D4"/>
    <mergeCell ref="R197:R198"/>
    <mergeCell ref="A194:R194"/>
    <mergeCell ref="B195:R195"/>
    <mergeCell ref="B196:R196"/>
    <mergeCell ref="A23:R23"/>
    <mergeCell ref="A31:R31"/>
    <mergeCell ref="A41:R41"/>
    <mergeCell ref="A47:R47"/>
    <mergeCell ref="A188:R188"/>
    <mergeCell ref="B39:R39"/>
  </mergeCells>
  <printOptions/>
  <pageMargins left="0.7" right="0.7" top="0.75" bottom="0.75" header="0.3" footer="0.3"/>
  <pageSetup fitToHeight="0" fitToWidth="1" horizontalDpi="600" verticalDpi="600" orientation="landscape" paperSize="9" scale="88" r:id="rId1"/>
  <rowBreaks count="1" manualBreakCount="1"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view="pageBreakPreview" zoomScale="85" zoomScaleSheetLayoutView="85" workbookViewId="0" topLeftCell="A257">
      <selection activeCell="C293" sqref="C293"/>
    </sheetView>
  </sheetViews>
  <sheetFormatPr defaultColWidth="9.00390625" defaultRowHeight="12.75"/>
  <cols>
    <col min="1" max="1" width="22.125" style="32" customWidth="1"/>
    <col min="2" max="2" width="27.375" style="95" customWidth="1"/>
    <col min="3" max="3" width="26.25390625" style="67" customWidth="1"/>
    <col min="4" max="4" width="5.875" style="31" customWidth="1"/>
    <col min="5" max="5" width="7.625" style="31" customWidth="1"/>
    <col min="6" max="6" width="15.25390625" style="63" customWidth="1"/>
    <col min="7" max="7" width="5.875" style="31" customWidth="1"/>
    <col min="8" max="8" width="15.375" style="31" customWidth="1"/>
    <col min="9" max="9" width="17.75390625" style="31" customWidth="1"/>
    <col min="10" max="10" width="14.875" style="31" customWidth="1"/>
    <col min="11" max="11" width="13.625" style="31" customWidth="1"/>
    <col min="12" max="13" width="14.625" style="31" customWidth="1"/>
    <col min="14" max="14" width="14.75390625" style="31" customWidth="1"/>
    <col min="15" max="15" width="15.75390625" style="31" customWidth="1"/>
    <col min="16" max="16" width="17.25390625" style="31" customWidth="1"/>
    <col min="17" max="17" width="16.25390625" style="31" customWidth="1"/>
    <col min="18" max="18" width="17.375" style="31" customWidth="1"/>
    <col min="19" max="19" width="13.75390625" style="31" customWidth="1"/>
    <col min="20" max="20" width="20.375" style="31" customWidth="1"/>
    <col min="21" max="21" width="9.125" style="31" customWidth="1"/>
    <col min="22" max="22" width="19.25390625" style="31" customWidth="1"/>
    <col min="23" max="16384" width="9.125" style="31" customWidth="1"/>
  </cols>
  <sheetData>
    <row r="1" spans="1:20" s="57" customFormat="1" ht="35.25" customHeight="1">
      <c r="A1" s="185" t="s">
        <v>533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26.25" customHeight="1">
      <c r="A2" s="159" t="s">
        <v>59</v>
      </c>
      <c r="B2" s="181" t="s">
        <v>37</v>
      </c>
      <c r="C2" s="159" t="s">
        <v>55</v>
      </c>
      <c r="D2" s="160" t="s">
        <v>24</v>
      </c>
      <c r="E2" s="160"/>
      <c r="F2" s="160"/>
      <c r="G2" s="160"/>
      <c r="H2" s="186" t="s">
        <v>29</v>
      </c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60" t="s">
        <v>33</v>
      </c>
    </row>
    <row r="3" spans="1:20" ht="15.75" customHeight="1">
      <c r="A3" s="159"/>
      <c r="B3" s="181"/>
      <c r="C3" s="159"/>
      <c r="D3" s="160" t="s">
        <v>25</v>
      </c>
      <c r="E3" s="160" t="s">
        <v>30</v>
      </c>
      <c r="F3" s="160" t="s">
        <v>26</v>
      </c>
      <c r="G3" s="160" t="s">
        <v>27</v>
      </c>
      <c r="H3" s="160" t="s">
        <v>536</v>
      </c>
      <c r="I3" s="160"/>
      <c r="J3" s="160" t="s">
        <v>537</v>
      </c>
      <c r="K3" s="160"/>
      <c r="L3" s="160"/>
      <c r="M3" s="160"/>
      <c r="N3" s="160"/>
      <c r="O3" s="160"/>
      <c r="P3" s="160"/>
      <c r="Q3" s="160"/>
      <c r="R3" s="160" t="s">
        <v>2</v>
      </c>
      <c r="S3" s="160"/>
      <c r="T3" s="160"/>
    </row>
    <row r="4" spans="1:20" ht="30" customHeight="1">
      <c r="A4" s="159"/>
      <c r="B4" s="181"/>
      <c r="C4" s="159"/>
      <c r="D4" s="160"/>
      <c r="E4" s="160"/>
      <c r="F4" s="160"/>
      <c r="G4" s="160"/>
      <c r="H4" s="160"/>
      <c r="I4" s="160"/>
      <c r="J4" s="160" t="s">
        <v>5</v>
      </c>
      <c r="K4" s="160"/>
      <c r="L4" s="160" t="s">
        <v>13</v>
      </c>
      <c r="M4" s="160"/>
      <c r="N4" s="160" t="s">
        <v>14</v>
      </c>
      <c r="O4" s="160"/>
      <c r="P4" s="160" t="s">
        <v>17</v>
      </c>
      <c r="Q4" s="160"/>
      <c r="R4" s="160"/>
      <c r="S4" s="160"/>
      <c r="T4" s="160"/>
    </row>
    <row r="5" spans="1:20" ht="32.25" customHeight="1">
      <c r="A5" s="159"/>
      <c r="B5" s="181"/>
      <c r="C5" s="159"/>
      <c r="D5" s="160"/>
      <c r="E5" s="160"/>
      <c r="F5" s="160"/>
      <c r="G5" s="160"/>
      <c r="H5" s="34" t="s">
        <v>3</v>
      </c>
      <c r="I5" s="34" t="s">
        <v>4</v>
      </c>
      <c r="J5" s="34" t="s">
        <v>3</v>
      </c>
      <c r="K5" s="34" t="s">
        <v>4</v>
      </c>
      <c r="L5" s="34" t="s">
        <v>3</v>
      </c>
      <c r="M5" s="34" t="s">
        <v>4</v>
      </c>
      <c r="N5" s="34" t="s">
        <v>3</v>
      </c>
      <c r="O5" s="34" t="s">
        <v>4</v>
      </c>
      <c r="P5" s="34" t="s">
        <v>3</v>
      </c>
      <c r="Q5" s="34" t="s">
        <v>4</v>
      </c>
      <c r="R5" s="34">
        <v>2020</v>
      </c>
      <c r="S5" s="34">
        <v>2021</v>
      </c>
      <c r="T5" s="160"/>
    </row>
    <row r="6" spans="1:21" ht="18" customHeight="1">
      <c r="A6" s="161" t="s">
        <v>726</v>
      </c>
      <c r="B6" s="147" t="s">
        <v>671</v>
      </c>
      <c r="C6" s="19" t="s">
        <v>28</v>
      </c>
      <c r="D6" s="40" t="s">
        <v>82</v>
      </c>
      <c r="E6" s="40" t="s">
        <v>82</v>
      </c>
      <c r="F6" s="34" t="s">
        <v>82</v>
      </c>
      <c r="G6" s="40" t="s">
        <v>82</v>
      </c>
      <c r="H6" s="47">
        <f>SUM(H8:H9)</f>
        <v>158987.55623</v>
      </c>
      <c r="I6" s="47">
        <f>SUM(I8:I9)</f>
        <v>158987.55623</v>
      </c>
      <c r="J6" s="47">
        <f aca="true" t="shared" si="0" ref="J6:S6">SUM(J8:J9)</f>
        <v>36044.890100000004</v>
      </c>
      <c r="K6" s="47">
        <f t="shared" si="0"/>
        <v>34373.3627</v>
      </c>
      <c r="L6" s="47">
        <f t="shared" si="0"/>
        <v>82959.01097</v>
      </c>
      <c r="M6" s="47">
        <f t="shared" si="0"/>
        <v>81046.19665999999</v>
      </c>
      <c r="N6" s="47">
        <f t="shared" si="0"/>
        <v>119848.37234999999</v>
      </c>
      <c r="O6" s="47">
        <f t="shared" si="0"/>
        <v>111723.68334999999</v>
      </c>
      <c r="P6" s="47">
        <f>SUM(P8:P9)</f>
        <v>159549.82204999996</v>
      </c>
      <c r="Q6" s="47">
        <f>SUM(Q8:Q9)</f>
        <v>159549.82204999996</v>
      </c>
      <c r="R6" s="47">
        <f>SUM(R8:R9)</f>
        <v>172042.36402</v>
      </c>
      <c r="S6" s="47">
        <f t="shared" si="0"/>
        <v>119457.61138</v>
      </c>
      <c r="T6" s="53"/>
      <c r="U6" s="58"/>
    </row>
    <row r="7" spans="1:20" ht="15.75">
      <c r="A7" s="161"/>
      <c r="B7" s="147"/>
      <c r="C7" s="19" t="s">
        <v>56</v>
      </c>
      <c r="D7" s="40"/>
      <c r="E7" s="40"/>
      <c r="F7" s="34"/>
      <c r="G7" s="4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51">
      <c r="A8" s="161"/>
      <c r="B8" s="147"/>
      <c r="C8" s="19" t="s">
        <v>116</v>
      </c>
      <c r="D8" s="40" t="s">
        <v>82</v>
      </c>
      <c r="E8" s="40" t="s">
        <v>82</v>
      </c>
      <c r="F8" s="34" t="s">
        <v>82</v>
      </c>
      <c r="G8" s="40" t="s">
        <v>82</v>
      </c>
      <c r="H8" s="45">
        <f>H10</f>
        <v>133382.37623</v>
      </c>
      <c r="I8" s="45">
        <f aca="true" t="shared" si="1" ref="I8:S8">I10</f>
        <v>133382.37623</v>
      </c>
      <c r="J8" s="45">
        <f t="shared" si="1"/>
        <v>31325.05512</v>
      </c>
      <c r="K8" s="45">
        <f t="shared" si="1"/>
        <v>30553.52567</v>
      </c>
      <c r="L8" s="45">
        <f t="shared" si="1"/>
        <v>70067.45224</v>
      </c>
      <c r="M8" s="45">
        <f>M10</f>
        <v>69592.50194999999</v>
      </c>
      <c r="N8" s="45">
        <f t="shared" si="1"/>
        <v>102733.46336</v>
      </c>
      <c r="O8" s="45">
        <f t="shared" si="1"/>
        <v>98398.02034999999</v>
      </c>
      <c r="P8" s="45">
        <f>P10</f>
        <v>136237.12072999997</v>
      </c>
      <c r="Q8" s="45">
        <f t="shared" si="1"/>
        <v>136237.12072999997</v>
      </c>
      <c r="R8" s="45">
        <f t="shared" si="1"/>
        <v>138615.02522</v>
      </c>
      <c r="S8" s="45">
        <f t="shared" si="1"/>
        <v>119457.61138</v>
      </c>
      <c r="T8" s="53"/>
    </row>
    <row r="9" spans="1:20" ht="64.5" customHeight="1">
      <c r="A9" s="161"/>
      <c r="B9" s="147"/>
      <c r="C9" s="19" t="s">
        <v>84</v>
      </c>
      <c r="D9" s="40" t="s">
        <v>82</v>
      </c>
      <c r="E9" s="40" t="s">
        <v>82</v>
      </c>
      <c r="F9" s="34" t="s">
        <v>82</v>
      </c>
      <c r="G9" s="40" t="s">
        <v>82</v>
      </c>
      <c r="H9" s="45">
        <f>H92</f>
        <v>25605.18</v>
      </c>
      <c r="I9" s="45">
        <f>I92</f>
        <v>25605.18</v>
      </c>
      <c r="J9" s="45">
        <f aca="true" t="shared" si="2" ref="J9:S9">J92</f>
        <v>4719.83498</v>
      </c>
      <c r="K9" s="45">
        <f t="shared" si="2"/>
        <v>3819.83703</v>
      </c>
      <c r="L9" s="45">
        <f t="shared" si="2"/>
        <v>12891.558729999999</v>
      </c>
      <c r="M9" s="45">
        <f t="shared" si="2"/>
        <v>11453.694709999998</v>
      </c>
      <c r="N9" s="45">
        <f t="shared" si="2"/>
        <v>17114.90899</v>
      </c>
      <c r="O9" s="45">
        <f t="shared" si="2"/>
        <v>13325.662999999999</v>
      </c>
      <c r="P9" s="45">
        <f t="shared" si="2"/>
        <v>23312.701319999996</v>
      </c>
      <c r="Q9" s="45">
        <f t="shared" si="2"/>
        <v>23312.701319999996</v>
      </c>
      <c r="R9" s="45">
        <f t="shared" si="2"/>
        <v>33427.3388</v>
      </c>
      <c r="S9" s="45">
        <f t="shared" si="2"/>
        <v>0</v>
      </c>
      <c r="T9" s="53"/>
    </row>
    <row r="10" spans="1:22" ht="18.75" customHeight="1">
      <c r="A10" s="161" t="s">
        <v>31</v>
      </c>
      <c r="B10" s="147" t="s">
        <v>670</v>
      </c>
      <c r="C10" s="19" t="s">
        <v>28</v>
      </c>
      <c r="D10" s="40" t="s">
        <v>82</v>
      </c>
      <c r="E10" s="40" t="s">
        <v>82</v>
      </c>
      <c r="F10" s="34" t="s">
        <v>82</v>
      </c>
      <c r="G10" s="40" t="s">
        <v>82</v>
      </c>
      <c r="H10" s="47">
        <f>SUM(H12)</f>
        <v>133382.37623</v>
      </c>
      <c r="I10" s="47">
        <f>SUM(I12)</f>
        <v>133382.37623</v>
      </c>
      <c r="J10" s="47">
        <f>SUM(J12)</f>
        <v>31325.05512</v>
      </c>
      <c r="K10" s="47">
        <f aca="true" t="shared" si="3" ref="K10:S10">SUM(K12)</f>
        <v>30553.52567</v>
      </c>
      <c r="L10" s="47">
        <f t="shared" si="3"/>
        <v>70067.45224</v>
      </c>
      <c r="M10" s="47">
        <f t="shared" si="3"/>
        <v>69592.50194999999</v>
      </c>
      <c r="N10" s="47">
        <f t="shared" si="3"/>
        <v>102733.46336</v>
      </c>
      <c r="O10" s="47">
        <f t="shared" si="3"/>
        <v>98398.02034999999</v>
      </c>
      <c r="P10" s="47">
        <f>SUM(P12)</f>
        <v>136237.12072999997</v>
      </c>
      <c r="Q10" s="47">
        <f>SUM(Q12)</f>
        <v>136237.12072999997</v>
      </c>
      <c r="R10" s="47">
        <f t="shared" si="3"/>
        <v>138615.02522</v>
      </c>
      <c r="S10" s="47">
        <f t="shared" si="3"/>
        <v>119457.61138</v>
      </c>
      <c r="T10" s="45"/>
      <c r="V10" s="58"/>
    </row>
    <row r="11" spans="1:20" ht="15.75">
      <c r="A11" s="161"/>
      <c r="B11" s="147"/>
      <c r="C11" s="19" t="s">
        <v>56</v>
      </c>
      <c r="D11" s="40"/>
      <c r="E11" s="40"/>
      <c r="F11" s="34"/>
      <c r="G11" s="4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2" ht="51">
      <c r="A12" s="161"/>
      <c r="B12" s="147"/>
      <c r="C12" s="19" t="s">
        <v>116</v>
      </c>
      <c r="D12" s="40" t="s">
        <v>82</v>
      </c>
      <c r="E12" s="40" t="s">
        <v>82</v>
      </c>
      <c r="F12" s="34" t="s">
        <v>82</v>
      </c>
      <c r="G12" s="40" t="s">
        <v>82</v>
      </c>
      <c r="H12" s="45">
        <f>H13+H17+H30+H44+H50+H53+H56+H75+H78+H37+H41+H60+H63+H66+H33+H69+H72+0.01</f>
        <v>133382.37623</v>
      </c>
      <c r="I12" s="45">
        <f>I13+I17+I30+I44+I50+I53+I56+I75+I78+I37+I41+I60+I63+I66+I33+I69+I72+0.01</f>
        <v>133382.37623</v>
      </c>
      <c r="J12" s="45">
        <f aca="true" t="shared" si="4" ref="J12:Q12">J13+J17+J30+J44+J50+J53+J56+J75+J78+J37+J41+J60+J63+J66+J33+J69+J72+J86</f>
        <v>31325.05512</v>
      </c>
      <c r="K12" s="45">
        <f t="shared" si="4"/>
        <v>30553.52567</v>
      </c>
      <c r="L12" s="45">
        <f t="shared" si="4"/>
        <v>70067.45224</v>
      </c>
      <c r="M12" s="45">
        <f t="shared" si="4"/>
        <v>69592.50194999999</v>
      </c>
      <c r="N12" s="45">
        <f t="shared" si="4"/>
        <v>102733.46336</v>
      </c>
      <c r="O12" s="45">
        <f t="shared" si="4"/>
        <v>98398.02034999999</v>
      </c>
      <c r="P12" s="45">
        <f t="shared" si="4"/>
        <v>136237.12072999997</v>
      </c>
      <c r="Q12" s="45">
        <f t="shared" si="4"/>
        <v>136237.12072999997</v>
      </c>
      <c r="R12" s="45">
        <f>R13+R17+R30+R44+R50+R53+R56+R75+R78+R37+R41+R60+R63+R66+R33+R69+R72</f>
        <v>138615.02522</v>
      </c>
      <c r="S12" s="45">
        <f>S13+S17+S30+S44+S50+S53+S56+S75+S78+S37+S41+S60+S63+S66+S33+S69+S72</f>
        <v>119457.61138</v>
      </c>
      <c r="T12" s="45"/>
      <c r="V12" s="58"/>
    </row>
    <row r="13" spans="1:20" ht="21.75" customHeight="1">
      <c r="A13" s="159" t="s">
        <v>85</v>
      </c>
      <c r="B13" s="181" t="s">
        <v>89</v>
      </c>
      <c r="C13" s="19" t="s">
        <v>28</v>
      </c>
      <c r="D13" s="40" t="s">
        <v>82</v>
      </c>
      <c r="E13" s="40" t="s">
        <v>82</v>
      </c>
      <c r="F13" s="34" t="s">
        <v>82</v>
      </c>
      <c r="G13" s="40" t="s">
        <v>82</v>
      </c>
      <c r="H13" s="45">
        <f>SUM(H15:H16)</f>
        <v>119700.53499999999</v>
      </c>
      <c r="I13" s="45">
        <f aca="true" t="shared" si="5" ref="I13:S13">SUM(I15:I16)</f>
        <v>119700.53499999999</v>
      </c>
      <c r="J13" s="45">
        <f>SUM(J15:J16)</f>
        <v>29300</v>
      </c>
      <c r="K13" s="45">
        <f t="shared" si="5"/>
        <v>29300</v>
      </c>
      <c r="L13" s="45">
        <f t="shared" si="5"/>
        <v>65891.495</v>
      </c>
      <c r="M13" s="45">
        <f t="shared" si="5"/>
        <v>65891.495</v>
      </c>
      <c r="N13" s="45">
        <f t="shared" si="5"/>
        <v>92991.495</v>
      </c>
      <c r="O13" s="45">
        <f t="shared" si="5"/>
        <v>92991.495</v>
      </c>
      <c r="P13" s="45">
        <f>SUM(P15:P16)</f>
        <v>124100.62359</v>
      </c>
      <c r="Q13" s="45">
        <f t="shared" si="5"/>
        <v>124100.62359</v>
      </c>
      <c r="R13" s="45">
        <f t="shared" si="5"/>
        <v>127839.4628</v>
      </c>
      <c r="S13" s="45">
        <f t="shared" si="5"/>
        <v>113449.2782</v>
      </c>
      <c r="T13" s="45"/>
    </row>
    <row r="14" spans="1:20" ht="15.75">
      <c r="A14" s="159"/>
      <c r="B14" s="181"/>
      <c r="C14" s="19" t="s">
        <v>56</v>
      </c>
      <c r="D14" s="40"/>
      <c r="E14" s="40"/>
      <c r="F14" s="34"/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51">
      <c r="A15" s="159"/>
      <c r="B15" s="181"/>
      <c r="C15" s="19" t="s">
        <v>116</v>
      </c>
      <c r="D15" s="40">
        <v>557</v>
      </c>
      <c r="E15" s="42" t="s">
        <v>87</v>
      </c>
      <c r="F15" s="43" t="s">
        <v>154</v>
      </c>
      <c r="G15" s="40">
        <v>610</v>
      </c>
      <c r="H15" s="45">
        <v>18831.495</v>
      </c>
      <c r="I15" s="45">
        <v>18831.495</v>
      </c>
      <c r="J15" s="45">
        <v>3500</v>
      </c>
      <c r="K15" s="45">
        <v>3500</v>
      </c>
      <c r="L15" s="45">
        <f>J15+6831.495</f>
        <v>10331.494999999999</v>
      </c>
      <c r="M15" s="45">
        <f>L15</f>
        <v>10331.494999999999</v>
      </c>
      <c r="N15" s="45">
        <f>L15+4000</f>
        <v>14331.494999999999</v>
      </c>
      <c r="O15" s="45">
        <f>N15</f>
        <v>14331.494999999999</v>
      </c>
      <c r="P15" s="45">
        <f>N15+5180.971</f>
        <v>19512.466</v>
      </c>
      <c r="Q15" s="45">
        <f>O15+5180.971</f>
        <v>19512.466</v>
      </c>
      <c r="R15" s="53">
        <v>20997.15973</v>
      </c>
      <c r="S15" s="45">
        <v>0</v>
      </c>
      <c r="T15" s="45"/>
    </row>
    <row r="16" spans="1:20" ht="51">
      <c r="A16" s="159"/>
      <c r="B16" s="181"/>
      <c r="C16" s="19" t="s">
        <v>116</v>
      </c>
      <c r="D16" s="40">
        <v>557</v>
      </c>
      <c r="E16" s="42" t="s">
        <v>87</v>
      </c>
      <c r="F16" s="43" t="s">
        <v>137</v>
      </c>
      <c r="G16" s="40">
        <v>610</v>
      </c>
      <c r="H16" s="45">
        <v>100869.04</v>
      </c>
      <c r="I16" s="45">
        <v>100869.04</v>
      </c>
      <c r="J16" s="45">
        <v>25800</v>
      </c>
      <c r="K16" s="45">
        <v>25800</v>
      </c>
      <c r="L16" s="45">
        <f>J16+29760</f>
        <v>55560</v>
      </c>
      <c r="M16" s="45">
        <f>L16</f>
        <v>55560</v>
      </c>
      <c r="N16" s="45">
        <f>L16+23100</f>
        <v>78660</v>
      </c>
      <c r="O16" s="45">
        <f>N16</f>
        <v>78660</v>
      </c>
      <c r="P16" s="45">
        <v>104588.15759</v>
      </c>
      <c r="Q16" s="53">
        <v>104588.15759</v>
      </c>
      <c r="R16" s="53">
        <v>106842.30307</v>
      </c>
      <c r="S16" s="53">
        <v>113449.2782</v>
      </c>
      <c r="T16" s="53"/>
    </row>
    <row r="17" spans="1:20" ht="15" customHeight="1">
      <c r="A17" s="159" t="s">
        <v>85</v>
      </c>
      <c r="B17" s="181" t="s">
        <v>108</v>
      </c>
      <c r="C17" s="19" t="s">
        <v>28</v>
      </c>
      <c r="D17" s="40" t="s">
        <v>82</v>
      </c>
      <c r="E17" s="40" t="s">
        <v>82</v>
      </c>
      <c r="F17" s="34" t="s">
        <v>82</v>
      </c>
      <c r="G17" s="40" t="s">
        <v>82</v>
      </c>
      <c r="H17" s="45">
        <f>SUM(H19:H29)-0.01</f>
        <v>4931.76</v>
      </c>
      <c r="I17" s="45">
        <f>SUM(I19:I29)-0.01</f>
        <v>4931.76</v>
      </c>
      <c r="J17" s="45">
        <f aca="true" t="shared" si="6" ref="J17:S17">SUM(J19:J29)</f>
        <v>346.776</v>
      </c>
      <c r="K17" s="45">
        <f t="shared" si="6"/>
        <v>346.776</v>
      </c>
      <c r="L17" s="45">
        <f t="shared" si="6"/>
        <v>855.2</v>
      </c>
      <c r="M17" s="45">
        <f t="shared" si="6"/>
        <v>655.059</v>
      </c>
      <c r="N17" s="45">
        <f t="shared" si="6"/>
        <v>4919.255</v>
      </c>
      <c r="O17" s="45">
        <f t="shared" si="6"/>
        <v>1054.3485500000002</v>
      </c>
      <c r="P17" s="45">
        <f t="shared" si="6"/>
        <v>4919.255</v>
      </c>
      <c r="Q17" s="45">
        <f t="shared" si="6"/>
        <v>4919.255</v>
      </c>
      <c r="R17" s="45">
        <f t="shared" si="6"/>
        <v>5135.891</v>
      </c>
      <c r="S17" s="45">
        <f t="shared" si="6"/>
        <v>400</v>
      </c>
      <c r="T17" s="45"/>
    </row>
    <row r="18" spans="1:20" ht="15.75">
      <c r="A18" s="159"/>
      <c r="B18" s="181"/>
      <c r="C18" s="19" t="s">
        <v>56</v>
      </c>
      <c r="D18" s="40"/>
      <c r="E18" s="40"/>
      <c r="F18" s="34"/>
      <c r="G18" s="40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5"/>
    </row>
    <row r="19" spans="1:20" ht="52.5" customHeight="1" hidden="1">
      <c r="A19" s="159"/>
      <c r="B19" s="181"/>
      <c r="C19" s="19" t="s">
        <v>116</v>
      </c>
      <c r="D19" s="40">
        <v>557</v>
      </c>
      <c r="E19" s="42" t="s">
        <v>87</v>
      </c>
      <c r="F19" s="43" t="s">
        <v>120</v>
      </c>
      <c r="G19" s="40">
        <v>610</v>
      </c>
      <c r="H19" s="45">
        <v>0</v>
      </c>
      <c r="I19" s="45">
        <v>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3"/>
    </row>
    <row r="20" spans="1:20" ht="52.5" customHeight="1">
      <c r="A20" s="159"/>
      <c r="B20" s="181"/>
      <c r="C20" s="19" t="s">
        <v>116</v>
      </c>
      <c r="D20" s="40">
        <v>557</v>
      </c>
      <c r="E20" s="42" t="s">
        <v>87</v>
      </c>
      <c r="F20" s="43" t="s">
        <v>138</v>
      </c>
      <c r="G20" s="40">
        <v>610</v>
      </c>
      <c r="H20" s="45">
        <v>70.4</v>
      </c>
      <c r="I20" s="45">
        <v>70.4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53"/>
    </row>
    <row r="21" spans="1:20" ht="53.25" customHeight="1">
      <c r="A21" s="159"/>
      <c r="B21" s="181"/>
      <c r="C21" s="19" t="s">
        <v>116</v>
      </c>
      <c r="D21" s="40">
        <v>557</v>
      </c>
      <c r="E21" s="42" t="s">
        <v>87</v>
      </c>
      <c r="F21" s="43" t="s">
        <v>130</v>
      </c>
      <c r="G21" s="40">
        <v>610</v>
      </c>
      <c r="H21" s="45">
        <v>2206.52</v>
      </c>
      <c r="I21" s="45">
        <v>2206.52</v>
      </c>
      <c r="J21" s="45">
        <v>326.826</v>
      </c>
      <c r="K21" s="45">
        <v>326.826</v>
      </c>
      <c r="L21" s="45">
        <v>400</v>
      </c>
      <c r="M21" s="45">
        <v>392.122</v>
      </c>
      <c r="N21" s="45">
        <f>L21</f>
        <v>400</v>
      </c>
      <c r="O21" s="45">
        <v>400</v>
      </c>
      <c r="P21" s="45">
        <v>400</v>
      </c>
      <c r="Q21" s="45">
        <v>400</v>
      </c>
      <c r="R21" s="45">
        <v>400</v>
      </c>
      <c r="S21" s="45">
        <v>400</v>
      </c>
      <c r="T21" s="53"/>
    </row>
    <row r="22" spans="1:20" ht="51.75" customHeight="1" hidden="1">
      <c r="A22" s="159"/>
      <c r="B22" s="181"/>
      <c r="C22" s="19" t="s">
        <v>116</v>
      </c>
      <c r="D22" s="40">
        <v>557</v>
      </c>
      <c r="E22" s="42" t="s">
        <v>87</v>
      </c>
      <c r="F22" s="43" t="s">
        <v>135</v>
      </c>
      <c r="G22" s="40">
        <v>610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f>200-200</f>
        <v>0</v>
      </c>
      <c r="O22" s="45"/>
      <c r="P22" s="45">
        <f>N22</f>
        <v>0</v>
      </c>
      <c r="Q22" s="45"/>
      <c r="R22" s="45">
        <v>0</v>
      </c>
      <c r="S22" s="45">
        <v>0</v>
      </c>
      <c r="T22" s="53"/>
    </row>
    <row r="23" spans="1:21" ht="51.75" customHeight="1">
      <c r="A23" s="159"/>
      <c r="B23" s="181"/>
      <c r="C23" s="19" t="s">
        <v>116</v>
      </c>
      <c r="D23" s="40">
        <v>557</v>
      </c>
      <c r="E23" s="42" t="s">
        <v>87</v>
      </c>
      <c r="F23" s="43" t="s">
        <v>129</v>
      </c>
      <c r="G23" s="40">
        <v>610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53">
        <v>3889.705</v>
      </c>
      <c r="S23" s="45">
        <v>0</v>
      </c>
      <c r="T23" s="53"/>
      <c r="U23" s="59"/>
    </row>
    <row r="24" spans="1:21" ht="51.75" customHeight="1">
      <c r="A24" s="159"/>
      <c r="B24" s="181"/>
      <c r="C24" s="19" t="s">
        <v>116</v>
      </c>
      <c r="D24" s="40">
        <v>557</v>
      </c>
      <c r="E24" s="42" t="s">
        <v>87</v>
      </c>
      <c r="F24" s="43" t="s">
        <v>128</v>
      </c>
      <c r="G24" s="40">
        <v>610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53">
        <v>846.186</v>
      </c>
      <c r="S24" s="45">
        <v>0</v>
      </c>
      <c r="T24" s="53"/>
      <c r="U24" s="59"/>
    </row>
    <row r="25" spans="1:20" ht="51.75" customHeight="1">
      <c r="A25" s="159"/>
      <c r="B25" s="181"/>
      <c r="C25" s="19" t="s">
        <v>116</v>
      </c>
      <c r="D25" s="40">
        <v>557</v>
      </c>
      <c r="E25" s="42" t="s">
        <v>87</v>
      </c>
      <c r="F25" s="43" t="s">
        <v>153</v>
      </c>
      <c r="G25" s="40">
        <v>610</v>
      </c>
      <c r="H25" s="45">
        <v>645.32</v>
      </c>
      <c r="I25" s="45">
        <v>645.32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53"/>
    </row>
    <row r="26" spans="1:20" ht="51.75" customHeight="1">
      <c r="A26" s="159"/>
      <c r="B26" s="181"/>
      <c r="C26" s="19" t="s">
        <v>116</v>
      </c>
      <c r="D26" s="40">
        <v>557</v>
      </c>
      <c r="E26" s="42" t="s">
        <v>87</v>
      </c>
      <c r="F26" s="43" t="s">
        <v>152</v>
      </c>
      <c r="G26" s="40">
        <v>610</v>
      </c>
      <c r="H26" s="45">
        <v>2009.53</v>
      </c>
      <c r="I26" s="45">
        <v>2009.53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53"/>
    </row>
    <row r="27" spans="1:20" ht="51.75" customHeight="1">
      <c r="A27" s="159"/>
      <c r="B27" s="181"/>
      <c r="C27" s="19" t="s">
        <v>116</v>
      </c>
      <c r="D27" s="40">
        <v>557</v>
      </c>
      <c r="E27" s="42" t="s">
        <v>87</v>
      </c>
      <c r="F27" s="43" t="s">
        <v>546</v>
      </c>
      <c r="G27" s="40">
        <v>610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53">
        <f>725.73+2.643</f>
        <v>728.373</v>
      </c>
      <c r="O27" s="45">
        <v>0</v>
      </c>
      <c r="P27" s="53">
        <f>725.73+2.643</f>
        <v>728.373</v>
      </c>
      <c r="Q27" s="53">
        <f>725.73+2.643</f>
        <v>728.373</v>
      </c>
      <c r="R27" s="45">
        <v>0</v>
      </c>
      <c r="S27" s="45">
        <v>0</v>
      </c>
      <c r="T27" s="53"/>
    </row>
    <row r="28" spans="1:20" ht="51.75" customHeight="1">
      <c r="A28" s="159"/>
      <c r="B28" s="181"/>
      <c r="C28" s="19" t="s">
        <v>116</v>
      </c>
      <c r="D28" s="40">
        <v>557</v>
      </c>
      <c r="E28" s="42" t="s">
        <v>87</v>
      </c>
      <c r="F28" s="43" t="s">
        <v>546</v>
      </c>
      <c r="G28" s="40">
        <v>610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53">
        <v>1315.972</v>
      </c>
      <c r="O28" s="45">
        <v>0</v>
      </c>
      <c r="P28" s="53">
        <v>1315.972</v>
      </c>
      <c r="Q28" s="53">
        <v>1315.972</v>
      </c>
      <c r="R28" s="45">
        <v>0</v>
      </c>
      <c r="S28" s="45">
        <v>0</v>
      </c>
      <c r="T28" s="53"/>
    </row>
    <row r="29" spans="1:20" ht="51.75" customHeight="1">
      <c r="A29" s="159"/>
      <c r="B29" s="181"/>
      <c r="C29" s="19" t="s">
        <v>116</v>
      </c>
      <c r="D29" s="40">
        <v>557</v>
      </c>
      <c r="E29" s="42" t="s">
        <v>87</v>
      </c>
      <c r="F29" s="43" t="s">
        <v>155</v>
      </c>
      <c r="G29" s="40">
        <v>610</v>
      </c>
      <c r="H29" s="45">
        <v>0</v>
      </c>
      <c r="I29" s="45">
        <v>0</v>
      </c>
      <c r="J29" s="45">
        <v>19.95</v>
      </c>
      <c r="K29" s="45">
        <v>19.95</v>
      </c>
      <c r="L29" s="45">
        <v>455.2</v>
      </c>
      <c r="M29" s="45">
        <v>262.937</v>
      </c>
      <c r="N29" s="45">
        <f>L29+2019.71</f>
        <v>2474.91</v>
      </c>
      <c r="O29" s="45">
        <v>654.34855</v>
      </c>
      <c r="P29" s="45">
        <f>N29</f>
        <v>2474.91</v>
      </c>
      <c r="Q29" s="45">
        <f>P29</f>
        <v>2474.91</v>
      </c>
      <c r="R29" s="45">
        <v>0</v>
      </c>
      <c r="S29" s="45">
        <v>0</v>
      </c>
      <c r="T29" s="53"/>
    </row>
    <row r="30" spans="1:20" ht="21.75" customHeight="1">
      <c r="A30" s="159" t="s">
        <v>85</v>
      </c>
      <c r="B30" s="181" t="s">
        <v>118</v>
      </c>
      <c r="C30" s="19" t="s">
        <v>28</v>
      </c>
      <c r="D30" s="40" t="s">
        <v>82</v>
      </c>
      <c r="E30" s="40" t="s">
        <v>82</v>
      </c>
      <c r="F30" s="34" t="s">
        <v>82</v>
      </c>
      <c r="G30" s="40" t="s">
        <v>82</v>
      </c>
      <c r="H30" s="45">
        <f>SUM(H32)</f>
        <v>331.4</v>
      </c>
      <c r="I30" s="45">
        <f aca="true" t="shared" si="7" ref="I30:S30">SUM(I32:I32)</f>
        <v>331.4</v>
      </c>
      <c r="J30" s="45">
        <f t="shared" si="7"/>
        <v>0</v>
      </c>
      <c r="K30" s="45">
        <f t="shared" si="7"/>
        <v>0</v>
      </c>
      <c r="L30" s="45">
        <f t="shared" si="7"/>
        <v>195.5</v>
      </c>
      <c r="M30" s="45">
        <f t="shared" si="7"/>
        <v>188.26</v>
      </c>
      <c r="N30" s="45">
        <f t="shared" si="7"/>
        <v>195.5</v>
      </c>
      <c r="O30" s="45">
        <f t="shared" si="7"/>
        <v>188.26</v>
      </c>
      <c r="P30" s="45">
        <f t="shared" si="7"/>
        <v>469.2</v>
      </c>
      <c r="Q30" s="45">
        <f t="shared" si="7"/>
        <v>469.2</v>
      </c>
      <c r="R30" s="45">
        <f t="shared" si="7"/>
        <v>413.1</v>
      </c>
      <c r="S30" s="45">
        <f t="shared" si="7"/>
        <v>0</v>
      </c>
      <c r="T30" s="45"/>
    </row>
    <row r="31" spans="1:20" ht="28.5" customHeight="1">
      <c r="A31" s="159"/>
      <c r="B31" s="181"/>
      <c r="C31" s="19" t="s">
        <v>56</v>
      </c>
      <c r="D31" s="40"/>
      <c r="E31" s="40"/>
      <c r="F31" s="34"/>
      <c r="G31" s="4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3"/>
    </row>
    <row r="32" spans="1:20" ht="114.75" customHeight="1">
      <c r="A32" s="159"/>
      <c r="B32" s="69" t="s">
        <v>119</v>
      </c>
      <c r="C32" s="19" t="s">
        <v>83</v>
      </c>
      <c r="D32" s="40">
        <v>557</v>
      </c>
      <c r="E32" s="42" t="s">
        <v>87</v>
      </c>
      <c r="F32" s="43" t="s">
        <v>132</v>
      </c>
      <c r="G32" s="40">
        <v>610</v>
      </c>
      <c r="H32" s="45">
        <v>331.4</v>
      </c>
      <c r="I32" s="45">
        <v>331.4</v>
      </c>
      <c r="J32" s="45">
        <v>0</v>
      </c>
      <c r="K32" s="45">
        <v>0</v>
      </c>
      <c r="L32" s="45">
        <v>195.5</v>
      </c>
      <c r="M32" s="45">
        <v>188.26</v>
      </c>
      <c r="N32" s="45">
        <f>L32</f>
        <v>195.5</v>
      </c>
      <c r="O32" s="45">
        <v>188.26</v>
      </c>
      <c r="P32" s="45">
        <v>469.2</v>
      </c>
      <c r="Q32" s="45">
        <v>469.2</v>
      </c>
      <c r="R32" s="45">
        <v>413.1</v>
      </c>
      <c r="S32" s="45">
        <v>0</v>
      </c>
      <c r="T32" s="53"/>
    </row>
    <row r="33" spans="1:20" ht="15" customHeight="1">
      <c r="A33" s="159" t="s">
        <v>85</v>
      </c>
      <c r="B33" s="181" t="s">
        <v>543</v>
      </c>
      <c r="C33" s="19" t="s">
        <v>28</v>
      </c>
      <c r="D33" s="40" t="s">
        <v>82</v>
      </c>
      <c r="E33" s="40" t="s">
        <v>82</v>
      </c>
      <c r="F33" s="34" t="s">
        <v>82</v>
      </c>
      <c r="G33" s="40" t="s">
        <v>82</v>
      </c>
      <c r="H33" s="45">
        <f>SUM(H35:H36)</f>
        <v>0</v>
      </c>
      <c r="I33" s="45">
        <f aca="true" t="shared" si="8" ref="I33:P33">SUM(I35:I36)</f>
        <v>0</v>
      </c>
      <c r="J33" s="45">
        <f t="shared" si="8"/>
        <v>0</v>
      </c>
      <c r="K33" s="45">
        <f t="shared" si="8"/>
        <v>0</v>
      </c>
      <c r="L33" s="45">
        <f t="shared" si="8"/>
        <v>0</v>
      </c>
      <c r="M33" s="45">
        <f t="shared" si="8"/>
        <v>0</v>
      </c>
      <c r="N33" s="45">
        <f t="shared" si="8"/>
        <v>0</v>
      </c>
      <c r="O33" s="45">
        <f t="shared" si="8"/>
        <v>0</v>
      </c>
      <c r="P33" s="45">
        <f t="shared" si="8"/>
        <v>153</v>
      </c>
      <c r="Q33" s="45">
        <f>SUM(Q35:Q36)</f>
        <v>153</v>
      </c>
      <c r="R33" s="45">
        <f>SUM(R35:R35)</f>
        <v>0</v>
      </c>
      <c r="S33" s="45">
        <f>SUM(S35:S35)</f>
        <v>0</v>
      </c>
      <c r="T33" s="45"/>
    </row>
    <row r="34" spans="1:20" ht="18" customHeight="1">
      <c r="A34" s="159"/>
      <c r="B34" s="181"/>
      <c r="C34" s="19" t="s">
        <v>56</v>
      </c>
      <c r="D34" s="40"/>
      <c r="E34" s="40"/>
      <c r="F34" s="34"/>
      <c r="G34" s="4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3"/>
    </row>
    <row r="35" spans="1:20" ht="44.25" customHeight="1">
      <c r="A35" s="159"/>
      <c r="B35" s="181"/>
      <c r="C35" s="19" t="s">
        <v>83</v>
      </c>
      <c r="D35" s="40">
        <v>557</v>
      </c>
      <c r="E35" s="40" t="s">
        <v>87</v>
      </c>
      <c r="F35" s="43" t="s">
        <v>545</v>
      </c>
      <c r="G35" s="40">
        <v>610</v>
      </c>
      <c r="H35" s="45">
        <v>0</v>
      </c>
      <c r="I35" s="45">
        <v>0</v>
      </c>
      <c r="J35" s="45">
        <v>0</v>
      </c>
      <c r="K35" s="45">
        <v>0</v>
      </c>
      <c r="L35" s="45">
        <f>J35</f>
        <v>0</v>
      </c>
      <c r="M35" s="45">
        <v>0</v>
      </c>
      <c r="N35" s="45">
        <f>L35</f>
        <v>0</v>
      </c>
      <c r="O35" s="45">
        <v>0</v>
      </c>
      <c r="P35" s="45">
        <v>150</v>
      </c>
      <c r="Q35" s="45">
        <f>P35</f>
        <v>150</v>
      </c>
      <c r="R35" s="45">
        <v>0</v>
      </c>
      <c r="S35" s="45">
        <v>0</v>
      </c>
      <c r="T35" s="53"/>
    </row>
    <row r="36" spans="1:20" ht="48" customHeight="1">
      <c r="A36" s="159"/>
      <c r="B36" s="69" t="s">
        <v>544</v>
      </c>
      <c r="C36" s="19" t="s">
        <v>83</v>
      </c>
      <c r="D36" s="40">
        <v>557</v>
      </c>
      <c r="E36" s="42" t="s">
        <v>87</v>
      </c>
      <c r="F36" s="43" t="s">
        <v>545</v>
      </c>
      <c r="G36" s="40">
        <v>610</v>
      </c>
      <c r="H36" s="45">
        <v>0</v>
      </c>
      <c r="I36" s="45">
        <v>0</v>
      </c>
      <c r="J36" s="45">
        <v>0</v>
      </c>
      <c r="K36" s="45">
        <v>0</v>
      </c>
      <c r="L36" s="45">
        <f>J36</f>
        <v>0</v>
      </c>
      <c r="M36" s="45">
        <v>0</v>
      </c>
      <c r="N36" s="45">
        <f>L36</f>
        <v>0</v>
      </c>
      <c r="O36" s="45">
        <v>0</v>
      </c>
      <c r="P36" s="45">
        <v>3</v>
      </c>
      <c r="Q36" s="45">
        <v>3</v>
      </c>
      <c r="R36" s="45">
        <v>0</v>
      </c>
      <c r="S36" s="45">
        <v>0</v>
      </c>
      <c r="T36" s="53"/>
    </row>
    <row r="37" spans="1:20" ht="17.25" customHeight="1">
      <c r="A37" s="159" t="s">
        <v>85</v>
      </c>
      <c r="B37" s="181" t="s">
        <v>149</v>
      </c>
      <c r="C37" s="19" t="s">
        <v>28</v>
      </c>
      <c r="D37" s="40" t="s">
        <v>82</v>
      </c>
      <c r="E37" s="40" t="s">
        <v>82</v>
      </c>
      <c r="F37" s="34" t="s">
        <v>82</v>
      </c>
      <c r="G37" s="40" t="s">
        <v>82</v>
      </c>
      <c r="H37" s="45">
        <f>SUM(H39:H40)</f>
        <v>181.23000000000002</v>
      </c>
      <c r="I37" s="45">
        <f aca="true" t="shared" si="9" ref="I37:P37">SUM(I39:I40)</f>
        <v>181.23000000000002</v>
      </c>
      <c r="J37" s="45">
        <f t="shared" si="9"/>
        <v>0</v>
      </c>
      <c r="K37" s="45">
        <f t="shared" si="9"/>
        <v>0</v>
      </c>
      <c r="L37" s="45">
        <f t="shared" si="9"/>
        <v>0</v>
      </c>
      <c r="M37" s="45">
        <f t="shared" si="9"/>
        <v>0</v>
      </c>
      <c r="N37" s="45">
        <f t="shared" si="9"/>
        <v>0</v>
      </c>
      <c r="O37" s="45">
        <f t="shared" si="9"/>
        <v>0</v>
      </c>
      <c r="P37" s="45">
        <f t="shared" si="9"/>
        <v>33.39103</v>
      </c>
      <c r="Q37" s="45">
        <f>SUM(Q39:Q40)</f>
        <v>33.39103</v>
      </c>
      <c r="R37" s="45">
        <f>SUM(R39:R40)</f>
        <v>33.1577</v>
      </c>
      <c r="S37" s="45">
        <f>SUM(S39:S40)</f>
        <v>33.1577</v>
      </c>
      <c r="T37" s="45"/>
    </row>
    <row r="38" spans="1:20" ht="12" customHeight="1">
      <c r="A38" s="159"/>
      <c r="B38" s="181"/>
      <c r="C38" s="19" t="s">
        <v>56</v>
      </c>
      <c r="D38" s="40"/>
      <c r="E38" s="40"/>
      <c r="F38" s="34"/>
      <c r="G38" s="40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3"/>
    </row>
    <row r="39" spans="1:20" ht="63.75" customHeight="1">
      <c r="A39" s="159"/>
      <c r="B39" s="69" t="s">
        <v>150</v>
      </c>
      <c r="C39" s="19" t="s">
        <v>83</v>
      </c>
      <c r="D39" s="40">
        <v>557</v>
      </c>
      <c r="E39" s="40" t="s">
        <v>87</v>
      </c>
      <c r="F39" s="43" t="s">
        <v>133</v>
      </c>
      <c r="G39" s="40">
        <v>610</v>
      </c>
      <c r="H39" s="45">
        <v>145.84</v>
      </c>
      <c r="I39" s="45">
        <v>145.84</v>
      </c>
      <c r="J39" s="45">
        <v>0</v>
      </c>
      <c r="K39" s="45">
        <v>0</v>
      </c>
      <c r="L39" s="45">
        <f>J39</f>
        <v>0</v>
      </c>
      <c r="M39" s="45">
        <v>0</v>
      </c>
      <c r="N39" s="45">
        <f>L39</f>
        <v>0</v>
      </c>
      <c r="O39" s="45">
        <v>0</v>
      </c>
      <c r="P39" s="45">
        <v>26.90173</v>
      </c>
      <c r="Q39" s="45">
        <f>P39</f>
        <v>26.90173</v>
      </c>
      <c r="R39" s="45">
        <v>27.3077</v>
      </c>
      <c r="S39" s="45">
        <v>27.3077</v>
      </c>
      <c r="T39" s="53"/>
    </row>
    <row r="40" spans="1:20" ht="50.25" customHeight="1">
      <c r="A40" s="159"/>
      <c r="B40" s="69" t="s">
        <v>151</v>
      </c>
      <c r="C40" s="19" t="s">
        <v>83</v>
      </c>
      <c r="D40" s="40">
        <v>557</v>
      </c>
      <c r="E40" s="42" t="s">
        <v>87</v>
      </c>
      <c r="F40" s="43" t="s">
        <v>133</v>
      </c>
      <c r="G40" s="40">
        <v>610</v>
      </c>
      <c r="H40" s="45">
        <v>35.39</v>
      </c>
      <c r="I40" s="45">
        <v>35.39</v>
      </c>
      <c r="J40" s="45">
        <v>0</v>
      </c>
      <c r="K40" s="45">
        <v>0</v>
      </c>
      <c r="L40" s="45">
        <f>J40</f>
        <v>0</v>
      </c>
      <c r="M40" s="45">
        <v>0</v>
      </c>
      <c r="N40" s="45">
        <f>L40</f>
        <v>0</v>
      </c>
      <c r="O40" s="45">
        <v>0</v>
      </c>
      <c r="P40" s="45">
        <v>6.4893</v>
      </c>
      <c r="Q40" s="45">
        <v>6.4893</v>
      </c>
      <c r="R40" s="53">
        <v>5.85</v>
      </c>
      <c r="S40" s="53">
        <v>5.85</v>
      </c>
      <c r="T40" s="53"/>
    </row>
    <row r="41" spans="1:20" ht="16.5" customHeight="1">
      <c r="A41" s="159" t="s">
        <v>85</v>
      </c>
      <c r="B41" s="181" t="s">
        <v>148</v>
      </c>
      <c r="C41" s="19" t="s">
        <v>28</v>
      </c>
      <c r="D41" s="40" t="s">
        <v>82</v>
      </c>
      <c r="E41" s="40" t="s">
        <v>82</v>
      </c>
      <c r="F41" s="34" t="s">
        <v>82</v>
      </c>
      <c r="G41" s="40" t="s">
        <v>82</v>
      </c>
      <c r="H41" s="45">
        <f>SUM(H43)</f>
        <v>0</v>
      </c>
      <c r="I41" s="45">
        <f aca="true" t="shared" si="10" ref="I41:S41">SUM(I43:I43)</f>
        <v>0</v>
      </c>
      <c r="J41" s="45">
        <f t="shared" si="10"/>
        <v>0</v>
      </c>
      <c r="K41" s="45">
        <f t="shared" si="10"/>
        <v>0</v>
      </c>
      <c r="L41" s="45">
        <f t="shared" si="10"/>
        <v>0</v>
      </c>
      <c r="M41" s="45">
        <f t="shared" si="10"/>
        <v>0</v>
      </c>
      <c r="N41" s="45">
        <f t="shared" si="10"/>
        <v>0</v>
      </c>
      <c r="O41" s="45">
        <f t="shared" si="10"/>
        <v>0</v>
      </c>
      <c r="P41" s="45">
        <f t="shared" si="10"/>
        <v>0</v>
      </c>
      <c r="Q41" s="45">
        <f t="shared" si="10"/>
        <v>0</v>
      </c>
      <c r="R41" s="45">
        <f t="shared" si="10"/>
        <v>0</v>
      </c>
      <c r="S41" s="45">
        <f t="shared" si="10"/>
        <v>0</v>
      </c>
      <c r="T41" s="45"/>
    </row>
    <row r="42" spans="1:20" ht="15.75">
      <c r="A42" s="159"/>
      <c r="B42" s="181"/>
      <c r="C42" s="19" t="s">
        <v>56</v>
      </c>
      <c r="D42" s="40"/>
      <c r="E42" s="40"/>
      <c r="F42" s="34"/>
      <c r="G42" s="40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3"/>
    </row>
    <row r="43" spans="1:20" ht="75.75" customHeight="1">
      <c r="A43" s="159"/>
      <c r="B43" s="181"/>
      <c r="C43" s="19" t="s">
        <v>83</v>
      </c>
      <c r="D43" s="40">
        <v>557</v>
      </c>
      <c r="E43" s="42" t="s">
        <v>87</v>
      </c>
      <c r="F43" s="43" t="s">
        <v>134</v>
      </c>
      <c r="G43" s="40">
        <v>610</v>
      </c>
      <c r="H43" s="45">
        <v>0</v>
      </c>
      <c r="I43" s="45">
        <v>0</v>
      </c>
      <c r="J43" s="45">
        <v>0</v>
      </c>
      <c r="K43" s="45">
        <v>0</v>
      </c>
      <c r="L43" s="45">
        <f>J43</f>
        <v>0</v>
      </c>
      <c r="M43" s="45">
        <v>0</v>
      </c>
      <c r="N43" s="45">
        <f>L43</f>
        <v>0</v>
      </c>
      <c r="O43" s="45">
        <v>0</v>
      </c>
      <c r="P43" s="45">
        <v>0</v>
      </c>
      <c r="Q43" s="45">
        <v>0</v>
      </c>
      <c r="R43" s="53">
        <v>0</v>
      </c>
      <c r="S43" s="53">
        <v>0</v>
      </c>
      <c r="T43" s="53"/>
    </row>
    <row r="44" spans="1:20" ht="22.5" customHeight="1">
      <c r="A44" s="159" t="s">
        <v>85</v>
      </c>
      <c r="B44" s="181" t="s">
        <v>117</v>
      </c>
      <c r="C44" s="19" t="s">
        <v>28</v>
      </c>
      <c r="D44" s="40" t="s">
        <v>82</v>
      </c>
      <c r="E44" s="40" t="s">
        <v>82</v>
      </c>
      <c r="F44" s="34" t="s">
        <v>82</v>
      </c>
      <c r="G44" s="40" t="s">
        <v>82</v>
      </c>
      <c r="H44" s="45">
        <f>SUM(H46:H49)</f>
        <v>0</v>
      </c>
      <c r="I44" s="45">
        <f aca="true" t="shared" si="11" ref="I44:S44">SUM(I46:I49)</f>
        <v>0</v>
      </c>
      <c r="J44" s="45">
        <f t="shared" si="11"/>
        <v>0</v>
      </c>
      <c r="K44" s="45">
        <f t="shared" si="11"/>
        <v>0</v>
      </c>
      <c r="L44" s="45">
        <f t="shared" si="11"/>
        <v>0</v>
      </c>
      <c r="M44" s="45">
        <f t="shared" si="11"/>
        <v>0</v>
      </c>
      <c r="N44" s="45">
        <f t="shared" si="11"/>
        <v>0</v>
      </c>
      <c r="O44" s="45">
        <f t="shared" si="11"/>
        <v>0</v>
      </c>
      <c r="P44" s="45">
        <f t="shared" si="11"/>
        <v>153.08018</v>
      </c>
      <c r="Q44" s="45">
        <f t="shared" si="11"/>
        <v>153.08018</v>
      </c>
      <c r="R44" s="45">
        <f t="shared" si="11"/>
        <v>155.93077</v>
      </c>
      <c r="S44" s="45">
        <f t="shared" si="11"/>
        <v>155.93077</v>
      </c>
      <c r="T44" s="45"/>
    </row>
    <row r="45" spans="1:20" ht="27.75" customHeight="1">
      <c r="A45" s="159"/>
      <c r="B45" s="181"/>
      <c r="C45" s="19" t="s">
        <v>56</v>
      </c>
      <c r="D45" s="40"/>
      <c r="E45" s="40"/>
      <c r="F45" s="43"/>
      <c r="G45" s="40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5"/>
    </row>
    <row r="46" spans="1:20" ht="51.75" customHeight="1">
      <c r="A46" s="159"/>
      <c r="B46" s="69" t="s">
        <v>113</v>
      </c>
      <c r="C46" s="19" t="s">
        <v>116</v>
      </c>
      <c r="D46" s="40">
        <v>557</v>
      </c>
      <c r="E46" s="42" t="s">
        <v>87</v>
      </c>
      <c r="F46" s="43" t="s">
        <v>145</v>
      </c>
      <c r="G46" s="40">
        <v>610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118.63711</v>
      </c>
      <c r="Q46" s="45">
        <f>P46</f>
        <v>118.63711</v>
      </c>
      <c r="R46" s="53">
        <v>120.73077</v>
      </c>
      <c r="S46" s="53">
        <v>120.73077</v>
      </c>
      <c r="T46" s="53"/>
    </row>
    <row r="47" spans="1:20" ht="51.75" customHeight="1">
      <c r="A47" s="159"/>
      <c r="B47" s="69" t="s">
        <v>114</v>
      </c>
      <c r="C47" s="19" t="s">
        <v>116</v>
      </c>
      <c r="D47" s="40">
        <v>557</v>
      </c>
      <c r="E47" s="42" t="s">
        <v>87</v>
      </c>
      <c r="F47" s="43" t="s">
        <v>145</v>
      </c>
      <c r="G47" s="40">
        <v>610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53">
        <v>34.44307</v>
      </c>
      <c r="Q47" s="53">
        <v>34.44307</v>
      </c>
      <c r="R47" s="53">
        <v>35.2</v>
      </c>
      <c r="S47" s="53">
        <v>35.2</v>
      </c>
      <c r="T47" s="45"/>
    </row>
    <row r="48" spans="1:20" ht="104.25" customHeight="1">
      <c r="A48" s="159"/>
      <c r="B48" s="69" t="s">
        <v>115</v>
      </c>
      <c r="C48" s="19" t="s">
        <v>116</v>
      </c>
      <c r="D48" s="40">
        <v>557</v>
      </c>
      <c r="E48" s="42" t="s">
        <v>87</v>
      </c>
      <c r="F48" s="43" t="s">
        <v>146</v>
      </c>
      <c r="G48" s="40">
        <v>610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f>N48</f>
        <v>0</v>
      </c>
      <c r="Q48" s="45">
        <v>0</v>
      </c>
      <c r="R48" s="45">
        <v>0</v>
      </c>
      <c r="S48" s="45">
        <v>0</v>
      </c>
      <c r="T48" s="53"/>
    </row>
    <row r="49" spans="1:20" ht="62.25" customHeight="1">
      <c r="A49" s="159"/>
      <c r="B49" s="69" t="s">
        <v>114</v>
      </c>
      <c r="C49" s="19" t="s">
        <v>116</v>
      </c>
      <c r="D49" s="40">
        <v>557</v>
      </c>
      <c r="E49" s="42" t="s">
        <v>87</v>
      </c>
      <c r="F49" s="43" t="s">
        <v>147</v>
      </c>
      <c r="G49" s="40">
        <v>610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f>N49</f>
        <v>0</v>
      </c>
      <c r="Q49" s="45">
        <v>0</v>
      </c>
      <c r="R49" s="45">
        <v>0</v>
      </c>
      <c r="S49" s="45">
        <v>0</v>
      </c>
      <c r="T49" s="53"/>
    </row>
    <row r="50" spans="1:20" ht="15" customHeight="1">
      <c r="A50" s="159" t="s">
        <v>85</v>
      </c>
      <c r="B50" s="181" t="s">
        <v>104</v>
      </c>
      <c r="C50" s="19" t="s">
        <v>28</v>
      </c>
      <c r="D50" s="40" t="s">
        <v>82</v>
      </c>
      <c r="E50" s="40" t="s">
        <v>82</v>
      </c>
      <c r="F50" s="34" t="s">
        <v>82</v>
      </c>
      <c r="G50" s="40" t="s">
        <v>82</v>
      </c>
      <c r="H50" s="45">
        <f>SUM(H52)</f>
        <v>0</v>
      </c>
      <c r="I50" s="45">
        <f aca="true" t="shared" si="12" ref="I50:S50">SUM(I52)</f>
        <v>0</v>
      </c>
      <c r="J50" s="45">
        <f t="shared" si="12"/>
        <v>0</v>
      </c>
      <c r="K50" s="45">
        <f t="shared" si="12"/>
        <v>0</v>
      </c>
      <c r="L50" s="45">
        <f t="shared" si="12"/>
        <v>0</v>
      </c>
      <c r="M50" s="45">
        <f t="shared" si="12"/>
        <v>0</v>
      </c>
      <c r="N50" s="45">
        <f t="shared" si="12"/>
        <v>0</v>
      </c>
      <c r="O50" s="45">
        <f t="shared" si="12"/>
        <v>0</v>
      </c>
      <c r="P50" s="45">
        <f t="shared" si="12"/>
        <v>0</v>
      </c>
      <c r="Q50" s="45">
        <f t="shared" si="12"/>
        <v>0</v>
      </c>
      <c r="R50" s="45">
        <f t="shared" si="12"/>
        <v>0</v>
      </c>
      <c r="S50" s="45">
        <f t="shared" si="12"/>
        <v>0</v>
      </c>
      <c r="T50" s="45"/>
    </row>
    <row r="51" spans="1:20" ht="17.25" customHeight="1">
      <c r="A51" s="159"/>
      <c r="B51" s="181"/>
      <c r="C51" s="19" t="s">
        <v>56</v>
      </c>
      <c r="D51" s="40"/>
      <c r="E51" s="40"/>
      <c r="F51" s="43"/>
      <c r="G51" s="40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75.75" customHeight="1">
      <c r="A52" s="159"/>
      <c r="B52" s="181"/>
      <c r="C52" s="19" t="s">
        <v>116</v>
      </c>
      <c r="D52" s="40">
        <v>557</v>
      </c>
      <c r="E52" s="42" t="s">
        <v>87</v>
      </c>
      <c r="F52" s="43" t="s">
        <v>105</v>
      </c>
      <c r="G52" s="40">
        <v>610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/>
    </row>
    <row r="53" spans="1:20" ht="15.75" customHeight="1">
      <c r="A53" s="159" t="s">
        <v>85</v>
      </c>
      <c r="B53" s="181" t="s">
        <v>107</v>
      </c>
      <c r="C53" s="19" t="s">
        <v>28</v>
      </c>
      <c r="D53" s="40" t="s">
        <v>82</v>
      </c>
      <c r="E53" s="40" t="s">
        <v>82</v>
      </c>
      <c r="F53" s="34" t="s">
        <v>82</v>
      </c>
      <c r="G53" s="40" t="s">
        <v>82</v>
      </c>
      <c r="H53" s="45">
        <f>SUM(H55)</f>
        <v>0</v>
      </c>
      <c r="I53" s="45">
        <f aca="true" t="shared" si="13" ref="I53:S53">SUM(I55)</f>
        <v>0</v>
      </c>
      <c r="J53" s="45">
        <f t="shared" si="13"/>
        <v>0</v>
      </c>
      <c r="K53" s="45">
        <f t="shared" si="13"/>
        <v>0</v>
      </c>
      <c r="L53" s="45">
        <f t="shared" si="13"/>
        <v>0</v>
      </c>
      <c r="M53" s="45">
        <f t="shared" si="13"/>
        <v>0</v>
      </c>
      <c r="N53" s="45">
        <f t="shared" si="13"/>
        <v>0</v>
      </c>
      <c r="O53" s="45">
        <f t="shared" si="13"/>
        <v>0</v>
      </c>
      <c r="P53" s="45">
        <f t="shared" si="13"/>
        <v>0</v>
      </c>
      <c r="Q53" s="45">
        <f t="shared" si="13"/>
        <v>0</v>
      </c>
      <c r="R53" s="45">
        <f t="shared" si="13"/>
        <v>0</v>
      </c>
      <c r="S53" s="45">
        <f t="shared" si="13"/>
        <v>0</v>
      </c>
      <c r="T53" s="45"/>
    </row>
    <row r="54" spans="1:20" ht="15.75" customHeight="1">
      <c r="A54" s="159"/>
      <c r="B54" s="181"/>
      <c r="C54" s="19" t="s">
        <v>56</v>
      </c>
      <c r="D54" s="40"/>
      <c r="E54" s="40"/>
      <c r="F54" s="43"/>
      <c r="G54" s="40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81.75" customHeight="1">
      <c r="A55" s="159"/>
      <c r="B55" s="181"/>
      <c r="C55" s="19" t="s">
        <v>116</v>
      </c>
      <c r="D55" s="40">
        <v>557</v>
      </c>
      <c r="E55" s="42" t="s">
        <v>87</v>
      </c>
      <c r="F55" s="43" t="s">
        <v>106</v>
      </c>
      <c r="G55" s="40">
        <v>610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/>
    </row>
    <row r="56" spans="1:20" ht="15.75" customHeight="1">
      <c r="A56" s="159" t="s">
        <v>85</v>
      </c>
      <c r="B56" s="181" t="s">
        <v>124</v>
      </c>
      <c r="C56" s="19" t="s">
        <v>28</v>
      </c>
      <c r="D56" s="40" t="s">
        <v>82</v>
      </c>
      <c r="E56" s="40" t="s">
        <v>82</v>
      </c>
      <c r="F56" s="34" t="s">
        <v>82</v>
      </c>
      <c r="G56" s="40" t="s">
        <v>82</v>
      </c>
      <c r="H56" s="45">
        <f>SUM(H58:H59)</f>
        <v>0</v>
      </c>
      <c r="I56" s="45">
        <f aca="true" t="shared" si="14" ref="I56:S56">SUM(I58:I59)</f>
        <v>0</v>
      </c>
      <c r="J56" s="45">
        <f t="shared" si="14"/>
        <v>0</v>
      </c>
      <c r="K56" s="45">
        <f t="shared" si="14"/>
        <v>0</v>
      </c>
      <c r="L56" s="45">
        <f t="shared" si="14"/>
        <v>0</v>
      </c>
      <c r="M56" s="45">
        <f t="shared" si="14"/>
        <v>0</v>
      </c>
      <c r="N56" s="45">
        <f t="shared" si="14"/>
        <v>0</v>
      </c>
      <c r="O56" s="45">
        <f t="shared" si="14"/>
        <v>0</v>
      </c>
      <c r="P56" s="45">
        <f t="shared" si="14"/>
        <v>0</v>
      </c>
      <c r="Q56" s="45">
        <f t="shared" si="14"/>
        <v>0</v>
      </c>
      <c r="R56" s="45">
        <f t="shared" si="14"/>
        <v>0</v>
      </c>
      <c r="S56" s="45">
        <f t="shared" si="14"/>
        <v>0</v>
      </c>
      <c r="T56" s="53"/>
    </row>
    <row r="57" spans="1:20" ht="12" customHeight="1">
      <c r="A57" s="159"/>
      <c r="B57" s="181"/>
      <c r="C57" s="19" t="s">
        <v>56</v>
      </c>
      <c r="D57" s="40"/>
      <c r="E57" s="40"/>
      <c r="F57" s="43"/>
      <c r="G57" s="40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3"/>
    </row>
    <row r="58" spans="1:20" ht="50.25" customHeight="1">
      <c r="A58" s="159"/>
      <c r="B58" s="181"/>
      <c r="C58" s="19" t="s">
        <v>116</v>
      </c>
      <c r="D58" s="40">
        <v>557</v>
      </c>
      <c r="E58" s="42" t="s">
        <v>87</v>
      </c>
      <c r="F58" s="43" t="s">
        <v>123</v>
      </c>
      <c r="G58" s="40">
        <v>610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53"/>
    </row>
    <row r="59" spans="1:20" ht="52.5" customHeight="1">
      <c r="A59" s="159"/>
      <c r="B59" s="181"/>
      <c r="C59" s="19" t="s">
        <v>116</v>
      </c>
      <c r="D59" s="40">
        <v>557</v>
      </c>
      <c r="E59" s="42" t="s">
        <v>87</v>
      </c>
      <c r="F59" s="43" t="s">
        <v>122</v>
      </c>
      <c r="G59" s="40">
        <v>610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53"/>
    </row>
    <row r="60" spans="1:20" ht="15.75" customHeight="1">
      <c r="A60" s="159" t="s">
        <v>85</v>
      </c>
      <c r="B60" s="181" t="s">
        <v>144</v>
      </c>
      <c r="C60" s="19" t="s">
        <v>28</v>
      </c>
      <c r="D60" s="40" t="s">
        <v>82</v>
      </c>
      <c r="E60" s="40" t="s">
        <v>82</v>
      </c>
      <c r="F60" s="34" t="s">
        <v>82</v>
      </c>
      <c r="G60" s="40" t="s">
        <v>82</v>
      </c>
      <c r="H60" s="45">
        <f>SUM(H62)</f>
        <v>0</v>
      </c>
      <c r="I60" s="45">
        <f aca="true" t="shared" si="15" ref="I60:P60">SUM(I62)</f>
        <v>0</v>
      </c>
      <c r="J60" s="45">
        <f t="shared" si="15"/>
        <v>0</v>
      </c>
      <c r="K60" s="45">
        <f t="shared" si="15"/>
        <v>0</v>
      </c>
      <c r="L60" s="45">
        <f t="shared" si="15"/>
        <v>0</v>
      </c>
      <c r="M60" s="45">
        <f t="shared" si="15"/>
        <v>0</v>
      </c>
      <c r="N60" s="45">
        <f t="shared" si="15"/>
        <v>0</v>
      </c>
      <c r="O60" s="45">
        <f t="shared" si="15"/>
        <v>0</v>
      </c>
      <c r="P60" s="45">
        <f t="shared" si="15"/>
        <v>0</v>
      </c>
      <c r="Q60" s="45">
        <f>SUM(Q62)</f>
        <v>0</v>
      </c>
      <c r="R60" s="45">
        <v>0</v>
      </c>
      <c r="S60" s="45">
        <v>0</v>
      </c>
      <c r="T60" s="53"/>
    </row>
    <row r="61" spans="1:20" ht="12" customHeight="1">
      <c r="A61" s="159"/>
      <c r="B61" s="181"/>
      <c r="C61" s="19" t="s">
        <v>56</v>
      </c>
      <c r="D61" s="40"/>
      <c r="E61" s="40"/>
      <c r="F61" s="43"/>
      <c r="G61" s="40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3"/>
    </row>
    <row r="62" spans="1:20" ht="60.75" customHeight="1">
      <c r="A62" s="159"/>
      <c r="B62" s="181"/>
      <c r="C62" s="19" t="s">
        <v>116</v>
      </c>
      <c r="D62" s="40">
        <v>557</v>
      </c>
      <c r="E62" s="42" t="s">
        <v>87</v>
      </c>
      <c r="F62" s="43" t="s">
        <v>136</v>
      </c>
      <c r="G62" s="40">
        <v>610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53"/>
    </row>
    <row r="63" spans="1:20" ht="15.75" customHeight="1">
      <c r="A63" s="159" t="s">
        <v>85</v>
      </c>
      <c r="B63" s="181" t="s">
        <v>142</v>
      </c>
      <c r="C63" s="19" t="s">
        <v>28</v>
      </c>
      <c r="D63" s="40" t="s">
        <v>82</v>
      </c>
      <c r="E63" s="40" t="s">
        <v>82</v>
      </c>
      <c r="F63" s="34" t="s">
        <v>82</v>
      </c>
      <c r="G63" s="40" t="s">
        <v>82</v>
      </c>
      <c r="H63" s="45">
        <f>SUM(H65)</f>
        <v>0</v>
      </c>
      <c r="I63" s="45">
        <f aca="true" t="shared" si="16" ref="I63:P63">SUM(I65)</f>
        <v>0</v>
      </c>
      <c r="J63" s="45">
        <f t="shared" si="16"/>
        <v>0</v>
      </c>
      <c r="K63" s="45">
        <f t="shared" si="16"/>
        <v>0</v>
      </c>
      <c r="L63" s="45">
        <f t="shared" si="16"/>
        <v>0</v>
      </c>
      <c r="M63" s="45">
        <f t="shared" si="16"/>
        <v>0</v>
      </c>
      <c r="N63" s="45">
        <f t="shared" si="16"/>
        <v>0</v>
      </c>
      <c r="O63" s="45">
        <f t="shared" si="16"/>
        <v>0</v>
      </c>
      <c r="P63" s="45">
        <f t="shared" si="16"/>
        <v>0</v>
      </c>
      <c r="Q63" s="45">
        <f>SUM(Q65)</f>
        <v>0</v>
      </c>
      <c r="R63" s="45">
        <v>0</v>
      </c>
      <c r="S63" s="45">
        <v>0</v>
      </c>
      <c r="T63" s="53"/>
    </row>
    <row r="64" spans="1:20" ht="12" customHeight="1">
      <c r="A64" s="159"/>
      <c r="B64" s="181"/>
      <c r="C64" s="19" t="s">
        <v>56</v>
      </c>
      <c r="D64" s="40"/>
      <c r="E64" s="40"/>
      <c r="F64" s="43"/>
      <c r="G64" s="40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3"/>
    </row>
    <row r="65" spans="1:20" ht="52.5" customHeight="1">
      <c r="A65" s="159"/>
      <c r="B65" s="181"/>
      <c r="C65" s="19" t="s">
        <v>116</v>
      </c>
      <c r="D65" s="40">
        <v>557</v>
      </c>
      <c r="E65" s="42" t="s">
        <v>87</v>
      </c>
      <c r="F65" s="43" t="s">
        <v>143</v>
      </c>
      <c r="G65" s="40">
        <v>610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53"/>
    </row>
    <row r="66" spans="1:20" ht="13.5" customHeight="1">
      <c r="A66" s="159" t="s">
        <v>85</v>
      </c>
      <c r="B66" s="181" t="s">
        <v>156</v>
      </c>
      <c r="C66" s="19" t="s">
        <v>28</v>
      </c>
      <c r="D66" s="40" t="s">
        <v>82</v>
      </c>
      <c r="E66" s="40" t="s">
        <v>82</v>
      </c>
      <c r="F66" s="34" t="s">
        <v>82</v>
      </c>
      <c r="G66" s="40" t="s">
        <v>82</v>
      </c>
      <c r="H66" s="45">
        <f>SUM(H68)</f>
        <v>3314.12</v>
      </c>
      <c r="I66" s="45">
        <f aca="true" t="shared" si="17" ref="I66:P66">SUM(I68)</f>
        <v>3314.12</v>
      </c>
      <c r="J66" s="45">
        <f t="shared" si="17"/>
        <v>0</v>
      </c>
      <c r="K66" s="45">
        <f t="shared" si="17"/>
        <v>0</v>
      </c>
      <c r="L66" s="45">
        <f t="shared" si="17"/>
        <v>0</v>
      </c>
      <c r="M66" s="45">
        <f t="shared" si="17"/>
        <v>0</v>
      </c>
      <c r="N66" s="45">
        <f t="shared" si="17"/>
        <v>0</v>
      </c>
      <c r="O66" s="45">
        <f t="shared" si="17"/>
        <v>0</v>
      </c>
      <c r="P66" s="45">
        <f t="shared" si="17"/>
        <v>0</v>
      </c>
      <c r="Q66" s="45">
        <f>SUM(Q68)</f>
        <v>0</v>
      </c>
      <c r="R66" s="45">
        <v>0</v>
      </c>
      <c r="S66" s="45">
        <v>0</v>
      </c>
      <c r="T66" s="53"/>
    </row>
    <row r="67" spans="1:20" ht="14.25" customHeight="1">
      <c r="A67" s="159"/>
      <c r="B67" s="181"/>
      <c r="C67" s="19" t="s">
        <v>56</v>
      </c>
      <c r="D67" s="40"/>
      <c r="E67" s="40"/>
      <c r="F67" s="43"/>
      <c r="G67" s="40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3"/>
    </row>
    <row r="68" spans="1:20" ht="75" customHeight="1">
      <c r="A68" s="159"/>
      <c r="B68" s="181"/>
      <c r="C68" s="19" t="s">
        <v>116</v>
      </c>
      <c r="D68" s="40">
        <v>557</v>
      </c>
      <c r="E68" s="42" t="s">
        <v>87</v>
      </c>
      <c r="F68" s="43" t="s">
        <v>157</v>
      </c>
      <c r="G68" s="40">
        <v>610</v>
      </c>
      <c r="H68" s="45">
        <v>3314.12</v>
      </c>
      <c r="I68" s="45">
        <v>3314.12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53"/>
    </row>
    <row r="69" spans="1:20" ht="21" customHeight="1">
      <c r="A69" s="159" t="s">
        <v>85</v>
      </c>
      <c r="B69" s="181" t="s">
        <v>125</v>
      </c>
      <c r="C69" s="19" t="s">
        <v>28</v>
      </c>
      <c r="D69" s="40" t="s">
        <v>82</v>
      </c>
      <c r="E69" s="40" t="s">
        <v>82</v>
      </c>
      <c r="F69" s="34" t="s">
        <v>82</v>
      </c>
      <c r="G69" s="40" t="s">
        <v>82</v>
      </c>
      <c r="H69" s="45">
        <f>SUM(H71)</f>
        <v>292.19</v>
      </c>
      <c r="I69" s="45">
        <f aca="true" t="shared" si="18" ref="I69:S69">SUM(I71)</f>
        <v>292.19</v>
      </c>
      <c r="J69" s="45">
        <f t="shared" si="18"/>
        <v>261.45812</v>
      </c>
      <c r="K69" s="45">
        <f t="shared" si="18"/>
        <v>261.45812</v>
      </c>
      <c r="L69" s="45">
        <f t="shared" si="18"/>
        <v>522.91624</v>
      </c>
      <c r="M69" s="45">
        <f t="shared" si="18"/>
        <v>522.91624</v>
      </c>
      <c r="N69" s="45">
        <f t="shared" si="18"/>
        <v>784.37436</v>
      </c>
      <c r="O69" s="45">
        <f t="shared" si="18"/>
        <v>784.37436</v>
      </c>
      <c r="P69" s="45">
        <f t="shared" si="18"/>
        <v>784.37436</v>
      </c>
      <c r="Q69" s="45">
        <f t="shared" si="18"/>
        <v>784.37436</v>
      </c>
      <c r="R69" s="45">
        <f t="shared" si="18"/>
        <v>0</v>
      </c>
      <c r="S69" s="45">
        <f t="shared" si="18"/>
        <v>0</v>
      </c>
      <c r="T69" s="45"/>
    </row>
    <row r="70" spans="1:20" ht="21" customHeight="1">
      <c r="A70" s="159"/>
      <c r="B70" s="181"/>
      <c r="C70" s="19" t="s">
        <v>56</v>
      </c>
      <c r="D70" s="40"/>
      <c r="E70" s="40"/>
      <c r="F70" s="43"/>
      <c r="G70" s="40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20" ht="68.25" customHeight="1">
      <c r="A71" s="159"/>
      <c r="B71" s="181"/>
      <c r="C71" s="19" t="s">
        <v>116</v>
      </c>
      <c r="D71" s="40">
        <v>557</v>
      </c>
      <c r="E71" s="42" t="s">
        <v>87</v>
      </c>
      <c r="F71" s="43" t="s">
        <v>140</v>
      </c>
      <c r="G71" s="40">
        <v>610</v>
      </c>
      <c r="H71" s="45">
        <v>292.19</v>
      </c>
      <c r="I71" s="45">
        <v>292.19</v>
      </c>
      <c r="J71" s="45">
        <v>261.45812</v>
      </c>
      <c r="K71" s="45">
        <v>261.45812</v>
      </c>
      <c r="L71" s="45">
        <f>J71+261.45812</f>
        <v>522.91624</v>
      </c>
      <c r="M71" s="45">
        <f>K71+261.45812</f>
        <v>522.91624</v>
      </c>
      <c r="N71" s="45">
        <f>L71+261.45812</f>
        <v>784.37436</v>
      </c>
      <c r="O71" s="45">
        <f>M71+261.45812</f>
        <v>784.37436</v>
      </c>
      <c r="P71" s="45">
        <f>N71</f>
        <v>784.37436</v>
      </c>
      <c r="Q71" s="45">
        <f>O71</f>
        <v>784.37436</v>
      </c>
      <c r="R71" s="45">
        <v>0</v>
      </c>
      <c r="S71" s="45">
        <v>0</v>
      </c>
      <c r="T71" s="45"/>
    </row>
    <row r="72" spans="1:20" ht="18" customHeight="1">
      <c r="A72" s="159" t="s">
        <v>85</v>
      </c>
      <c r="B72" s="181" t="s">
        <v>125</v>
      </c>
      <c r="C72" s="19" t="s">
        <v>28</v>
      </c>
      <c r="D72" s="40" t="s">
        <v>82</v>
      </c>
      <c r="E72" s="40" t="s">
        <v>82</v>
      </c>
      <c r="F72" s="34" t="s">
        <v>82</v>
      </c>
      <c r="G72" s="40" t="s">
        <v>82</v>
      </c>
      <c r="H72" s="45">
        <f>SUM(H74)</f>
        <v>0</v>
      </c>
      <c r="I72" s="45">
        <f aca="true" t="shared" si="19" ref="I72:S72">SUM(I74)</f>
        <v>0</v>
      </c>
      <c r="J72" s="45">
        <f t="shared" si="19"/>
        <v>0</v>
      </c>
      <c r="K72" s="45">
        <f t="shared" si="19"/>
        <v>0</v>
      </c>
      <c r="L72" s="45">
        <f t="shared" si="19"/>
        <v>0</v>
      </c>
      <c r="M72" s="45">
        <f t="shared" si="19"/>
        <v>0</v>
      </c>
      <c r="N72" s="45">
        <f t="shared" si="19"/>
        <v>0</v>
      </c>
      <c r="O72" s="45">
        <f t="shared" si="19"/>
        <v>0</v>
      </c>
      <c r="P72" s="45">
        <f t="shared" si="19"/>
        <v>222.36</v>
      </c>
      <c r="Q72" s="45">
        <f t="shared" si="19"/>
        <v>222.36</v>
      </c>
      <c r="R72" s="45">
        <f t="shared" si="19"/>
        <v>0</v>
      </c>
      <c r="S72" s="45">
        <f t="shared" si="19"/>
        <v>0</v>
      </c>
      <c r="T72" s="45"/>
    </row>
    <row r="73" spans="1:20" ht="20.25" customHeight="1">
      <c r="A73" s="159"/>
      <c r="B73" s="181"/>
      <c r="C73" s="19" t="s">
        <v>56</v>
      </c>
      <c r="D73" s="40"/>
      <c r="E73" s="40"/>
      <c r="F73" s="43"/>
      <c r="G73" s="40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:20" ht="70.5" customHeight="1">
      <c r="A74" s="159"/>
      <c r="B74" s="181"/>
      <c r="C74" s="19" t="s">
        <v>116</v>
      </c>
      <c r="D74" s="40">
        <v>557</v>
      </c>
      <c r="E74" s="42" t="s">
        <v>87</v>
      </c>
      <c r="F74" s="43" t="s">
        <v>542</v>
      </c>
      <c r="G74" s="40">
        <v>610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222.36</v>
      </c>
      <c r="Q74" s="45">
        <v>222.36</v>
      </c>
      <c r="R74" s="45">
        <v>0</v>
      </c>
      <c r="S74" s="45">
        <v>0</v>
      </c>
      <c r="T74" s="45"/>
    </row>
    <row r="75" spans="1:20" ht="15" customHeight="1">
      <c r="A75" s="159" t="s">
        <v>85</v>
      </c>
      <c r="B75" s="181" t="s">
        <v>125</v>
      </c>
      <c r="C75" s="19" t="s">
        <v>28</v>
      </c>
      <c r="D75" s="40" t="s">
        <v>82</v>
      </c>
      <c r="E75" s="40" t="s">
        <v>82</v>
      </c>
      <c r="F75" s="34" t="s">
        <v>82</v>
      </c>
      <c r="G75" s="40" t="s">
        <v>82</v>
      </c>
      <c r="H75" s="45">
        <f>SUM(H77)</f>
        <v>0</v>
      </c>
      <c r="I75" s="45">
        <f aca="true" t="shared" si="20" ref="I75:S75">SUM(I77)</f>
        <v>0</v>
      </c>
      <c r="J75" s="45">
        <f t="shared" si="20"/>
        <v>0</v>
      </c>
      <c r="K75" s="45">
        <f t="shared" si="20"/>
        <v>0</v>
      </c>
      <c r="L75" s="45">
        <f t="shared" si="20"/>
        <v>0</v>
      </c>
      <c r="M75" s="45">
        <f t="shared" si="20"/>
        <v>0</v>
      </c>
      <c r="N75" s="45">
        <f t="shared" si="20"/>
        <v>0</v>
      </c>
      <c r="O75" s="45">
        <f t="shared" si="20"/>
        <v>0</v>
      </c>
      <c r="P75" s="45">
        <f t="shared" si="20"/>
        <v>250.92622</v>
      </c>
      <c r="Q75" s="45">
        <f t="shared" si="20"/>
        <v>250.92622</v>
      </c>
      <c r="R75" s="45">
        <f t="shared" si="20"/>
        <v>0</v>
      </c>
      <c r="S75" s="45">
        <f t="shared" si="20"/>
        <v>0</v>
      </c>
      <c r="T75" s="45"/>
    </row>
    <row r="76" spans="1:20" ht="12" customHeight="1">
      <c r="A76" s="159"/>
      <c r="B76" s="181"/>
      <c r="C76" s="19" t="s">
        <v>56</v>
      </c>
      <c r="D76" s="40"/>
      <c r="E76" s="40"/>
      <c r="F76" s="43"/>
      <c r="G76" s="40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81.75" customHeight="1">
      <c r="A77" s="159"/>
      <c r="B77" s="181"/>
      <c r="C77" s="19" t="s">
        <v>116</v>
      </c>
      <c r="D77" s="40">
        <v>557</v>
      </c>
      <c r="E77" s="42" t="s">
        <v>87</v>
      </c>
      <c r="F77" s="43" t="s">
        <v>539</v>
      </c>
      <c r="G77" s="40">
        <v>610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250.92622</v>
      </c>
      <c r="Q77" s="45">
        <v>250.92622</v>
      </c>
      <c r="R77" s="45">
        <v>0</v>
      </c>
      <c r="S77" s="45">
        <v>0</v>
      </c>
      <c r="T77" s="45"/>
    </row>
    <row r="78" spans="1:21" ht="12.75" customHeight="1">
      <c r="A78" s="159" t="s">
        <v>85</v>
      </c>
      <c r="B78" s="181" t="s">
        <v>121</v>
      </c>
      <c r="C78" s="19" t="s">
        <v>28</v>
      </c>
      <c r="D78" s="40" t="s">
        <v>82</v>
      </c>
      <c r="E78" s="40" t="s">
        <v>82</v>
      </c>
      <c r="F78" s="34" t="s">
        <v>82</v>
      </c>
      <c r="G78" s="40" t="s">
        <v>82</v>
      </c>
      <c r="H78" s="45">
        <f>SUM(H80:H85)</f>
        <v>4631.13123</v>
      </c>
      <c r="I78" s="45">
        <f aca="true" t="shared" si="21" ref="I78:S78">SUM(I80:I85)</f>
        <v>4631.13123</v>
      </c>
      <c r="J78" s="45">
        <f t="shared" si="21"/>
        <v>1046.261</v>
      </c>
      <c r="K78" s="45">
        <f t="shared" si="21"/>
        <v>645.2915499999999</v>
      </c>
      <c r="L78" s="45">
        <f t="shared" si="21"/>
        <v>2231.781</v>
      </c>
      <c r="M78" s="45">
        <f t="shared" si="21"/>
        <v>1964.21171</v>
      </c>
      <c r="N78" s="45">
        <f t="shared" si="21"/>
        <v>3472.279</v>
      </c>
      <c r="O78" s="45">
        <f t="shared" si="21"/>
        <v>3008.9824399999998</v>
      </c>
      <c r="P78" s="45">
        <f t="shared" si="21"/>
        <v>4780.35035</v>
      </c>
      <c r="Q78" s="45">
        <f t="shared" si="21"/>
        <v>4780.35035</v>
      </c>
      <c r="R78" s="45">
        <f t="shared" si="21"/>
        <v>5037.48295</v>
      </c>
      <c r="S78" s="45">
        <f t="shared" si="21"/>
        <v>5419.24471</v>
      </c>
      <c r="T78" s="45"/>
      <c r="U78" s="58"/>
    </row>
    <row r="79" spans="1:20" ht="15.75">
      <c r="A79" s="159"/>
      <c r="B79" s="181"/>
      <c r="C79" s="19" t="s">
        <v>56</v>
      </c>
      <c r="D79" s="40"/>
      <c r="E79" s="42"/>
      <c r="F79" s="43"/>
      <c r="G79" s="40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24.75" customHeight="1">
      <c r="A80" s="159"/>
      <c r="B80" s="181"/>
      <c r="C80" s="157" t="s">
        <v>116</v>
      </c>
      <c r="D80" s="40">
        <v>557</v>
      </c>
      <c r="E80" s="42" t="s">
        <v>88</v>
      </c>
      <c r="F80" s="43" t="s">
        <v>127</v>
      </c>
      <c r="G80" s="40">
        <v>120</v>
      </c>
      <c r="H80" s="45">
        <v>3691.57613</v>
      </c>
      <c r="I80" s="45">
        <v>3691.57613</v>
      </c>
      <c r="J80" s="45">
        <v>905.342</v>
      </c>
      <c r="K80" s="45">
        <v>592.13452</v>
      </c>
      <c r="L80" s="45">
        <f>J80+1122.736</f>
        <v>2028.078</v>
      </c>
      <c r="M80" s="45">
        <v>1819.01892</v>
      </c>
      <c r="N80" s="45">
        <f>L80+1177.714</f>
        <v>3205.792</v>
      </c>
      <c r="O80" s="45">
        <v>2826.65107</v>
      </c>
      <c r="P80" s="45">
        <v>4415.793</v>
      </c>
      <c r="Q80" s="45">
        <v>4415.793</v>
      </c>
      <c r="R80" s="45">
        <v>4669.971</v>
      </c>
      <c r="S80" s="45">
        <v>5069.971</v>
      </c>
      <c r="T80" s="53"/>
    </row>
    <row r="81" spans="1:20" ht="24.75" customHeight="1">
      <c r="A81" s="159"/>
      <c r="B81" s="181"/>
      <c r="C81" s="157"/>
      <c r="D81" s="40">
        <v>557</v>
      </c>
      <c r="E81" s="42" t="s">
        <v>88</v>
      </c>
      <c r="F81" s="43" t="s">
        <v>127</v>
      </c>
      <c r="G81" s="40">
        <v>240</v>
      </c>
      <c r="H81" s="45">
        <v>563.17995</v>
      </c>
      <c r="I81" s="45">
        <v>563.17995</v>
      </c>
      <c r="J81" s="45">
        <v>140.919</v>
      </c>
      <c r="K81" s="45">
        <v>53.15703</v>
      </c>
      <c r="L81" s="45">
        <f>J81+62.784</f>
        <v>203.703</v>
      </c>
      <c r="M81" s="45">
        <v>145.19279</v>
      </c>
      <c r="N81" s="45">
        <f>L81+62.784</f>
        <v>266.487</v>
      </c>
      <c r="O81" s="45">
        <v>182.33137</v>
      </c>
      <c r="P81" s="45">
        <v>310.95371</v>
      </c>
      <c r="Q81" s="45">
        <v>310.95371</v>
      </c>
      <c r="R81" s="45">
        <v>367.51195</v>
      </c>
      <c r="S81" s="45">
        <v>349.27371</v>
      </c>
      <c r="T81" s="53"/>
    </row>
    <row r="82" spans="1:20" ht="24.75" customHeight="1">
      <c r="A82" s="159"/>
      <c r="B82" s="181"/>
      <c r="C82" s="157"/>
      <c r="D82" s="40">
        <v>557</v>
      </c>
      <c r="E82" s="42" t="s">
        <v>88</v>
      </c>
      <c r="F82" s="43" t="s">
        <v>127</v>
      </c>
      <c r="G82" s="40">
        <v>850</v>
      </c>
      <c r="H82" s="45">
        <v>12</v>
      </c>
      <c r="I82" s="45">
        <v>12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10</v>
      </c>
      <c r="Q82" s="45">
        <v>10</v>
      </c>
      <c r="R82" s="45">
        <v>0</v>
      </c>
      <c r="S82" s="45">
        <v>0</v>
      </c>
      <c r="T82" s="53"/>
    </row>
    <row r="83" spans="1:20" ht="24.75" customHeight="1">
      <c r="A83" s="159"/>
      <c r="B83" s="181"/>
      <c r="C83" s="157"/>
      <c r="D83" s="40">
        <v>557</v>
      </c>
      <c r="E83" s="42" t="s">
        <v>88</v>
      </c>
      <c r="F83" s="43" t="s">
        <v>158</v>
      </c>
      <c r="G83" s="40">
        <v>120</v>
      </c>
      <c r="H83" s="45">
        <v>247.46515</v>
      </c>
      <c r="I83" s="45">
        <v>247.46515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53"/>
    </row>
    <row r="84" spans="1:20" ht="24.75" customHeight="1">
      <c r="A84" s="159"/>
      <c r="B84" s="181"/>
      <c r="C84" s="157"/>
      <c r="D84" s="40">
        <v>557</v>
      </c>
      <c r="E84" s="42" t="s">
        <v>88</v>
      </c>
      <c r="F84" s="43" t="s">
        <v>159</v>
      </c>
      <c r="G84" s="40">
        <v>120</v>
      </c>
      <c r="H84" s="45">
        <v>116.91</v>
      </c>
      <c r="I84" s="45">
        <v>116.91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53"/>
    </row>
    <row r="85" spans="1:20" ht="24.75" customHeight="1">
      <c r="A85" s="159"/>
      <c r="B85" s="181"/>
      <c r="C85" s="157"/>
      <c r="D85" s="40">
        <v>557</v>
      </c>
      <c r="E85" s="42" t="s">
        <v>88</v>
      </c>
      <c r="F85" s="43" t="s">
        <v>539</v>
      </c>
      <c r="G85" s="40">
        <v>120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43.60364</v>
      </c>
      <c r="Q85" s="45">
        <v>43.60364</v>
      </c>
      <c r="R85" s="45">
        <v>0</v>
      </c>
      <c r="S85" s="45">
        <v>0</v>
      </c>
      <c r="T85" s="53"/>
    </row>
    <row r="86" spans="1:20" ht="12" customHeight="1">
      <c r="A86" s="159" t="s">
        <v>690</v>
      </c>
      <c r="B86" s="181" t="s">
        <v>541</v>
      </c>
      <c r="C86" s="19" t="s">
        <v>28</v>
      </c>
      <c r="D86" s="40" t="s">
        <v>82</v>
      </c>
      <c r="E86" s="40" t="s">
        <v>82</v>
      </c>
      <c r="F86" s="40" t="s">
        <v>82</v>
      </c>
      <c r="G86" s="40" t="s">
        <v>82</v>
      </c>
      <c r="H86" s="47">
        <f>SUM(H88)</f>
        <v>0</v>
      </c>
      <c r="I86" s="47">
        <f aca="true" t="shared" si="22" ref="I86:S86">SUM(I88)</f>
        <v>0</v>
      </c>
      <c r="J86" s="47">
        <f t="shared" si="22"/>
        <v>370.56</v>
      </c>
      <c r="K86" s="47">
        <f t="shared" si="22"/>
        <v>0</v>
      </c>
      <c r="L86" s="47">
        <f t="shared" si="22"/>
        <v>370.56</v>
      </c>
      <c r="M86" s="47">
        <f t="shared" si="22"/>
        <v>370.56</v>
      </c>
      <c r="N86" s="47">
        <f t="shared" si="22"/>
        <v>370.56</v>
      </c>
      <c r="O86" s="47">
        <f t="shared" si="22"/>
        <v>370.56</v>
      </c>
      <c r="P86" s="47">
        <f t="shared" si="22"/>
        <v>370.56</v>
      </c>
      <c r="Q86" s="47">
        <f t="shared" si="22"/>
        <v>370.56</v>
      </c>
      <c r="R86" s="47">
        <f t="shared" si="22"/>
        <v>0</v>
      </c>
      <c r="S86" s="47">
        <f t="shared" si="22"/>
        <v>0</v>
      </c>
      <c r="T86" s="45"/>
    </row>
    <row r="87" spans="1:20" ht="16.5" customHeight="1">
      <c r="A87" s="159"/>
      <c r="B87" s="181"/>
      <c r="C87" s="19" t="s">
        <v>56</v>
      </c>
      <c r="D87" s="40"/>
      <c r="E87" s="40"/>
      <c r="F87" s="40"/>
      <c r="G87" s="40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54" customHeight="1">
      <c r="A88" s="159"/>
      <c r="B88" s="181"/>
      <c r="C88" s="19" t="s">
        <v>83</v>
      </c>
      <c r="D88" s="42">
        <v>557</v>
      </c>
      <c r="E88" s="42">
        <v>1101</v>
      </c>
      <c r="F88" s="43" t="s">
        <v>540</v>
      </c>
      <c r="G88" s="42" t="s">
        <v>185</v>
      </c>
      <c r="H88" s="45">
        <f>H89</f>
        <v>0</v>
      </c>
      <c r="I88" s="45">
        <f aca="true" t="shared" si="23" ref="I88:S88">I89</f>
        <v>0</v>
      </c>
      <c r="J88" s="45">
        <f t="shared" si="23"/>
        <v>370.56</v>
      </c>
      <c r="K88" s="45">
        <f t="shared" si="23"/>
        <v>0</v>
      </c>
      <c r="L88" s="45">
        <f t="shared" si="23"/>
        <v>370.56</v>
      </c>
      <c r="M88" s="45">
        <f t="shared" si="23"/>
        <v>370.56</v>
      </c>
      <c r="N88" s="45">
        <f t="shared" si="23"/>
        <v>370.56</v>
      </c>
      <c r="O88" s="45">
        <f t="shared" si="23"/>
        <v>370.56</v>
      </c>
      <c r="P88" s="45">
        <f t="shared" si="23"/>
        <v>370.56</v>
      </c>
      <c r="Q88" s="45">
        <f t="shared" si="23"/>
        <v>370.56</v>
      </c>
      <c r="R88" s="45">
        <f t="shared" si="23"/>
        <v>0</v>
      </c>
      <c r="S88" s="45">
        <f t="shared" si="23"/>
        <v>0</v>
      </c>
      <c r="T88" s="45"/>
    </row>
    <row r="89" spans="1:20" ht="12.75" customHeight="1" hidden="1">
      <c r="A89" s="159" t="s">
        <v>172</v>
      </c>
      <c r="B89" s="181" t="s">
        <v>541</v>
      </c>
      <c r="C89" s="19" t="s">
        <v>28</v>
      </c>
      <c r="D89" s="40" t="s">
        <v>82</v>
      </c>
      <c r="E89" s="40" t="s">
        <v>82</v>
      </c>
      <c r="F89" s="40" t="s">
        <v>82</v>
      </c>
      <c r="G89" s="40" t="s">
        <v>82</v>
      </c>
      <c r="H89" s="45">
        <f>SUM(H91)</f>
        <v>0</v>
      </c>
      <c r="I89" s="45">
        <f aca="true" t="shared" si="24" ref="I89:S89">SUM(I91)</f>
        <v>0</v>
      </c>
      <c r="J89" s="45">
        <f t="shared" si="24"/>
        <v>370.56</v>
      </c>
      <c r="K89" s="45">
        <f t="shared" si="24"/>
        <v>0</v>
      </c>
      <c r="L89" s="45">
        <f t="shared" si="24"/>
        <v>370.56</v>
      </c>
      <c r="M89" s="45">
        <f t="shared" si="24"/>
        <v>370.56</v>
      </c>
      <c r="N89" s="45">
        <f t="shared" si="24"/>
        <v>370.56</v>
      </c>
      <c r="O89" s="45">
        <f t="shared" si="24"/>
        <v>370.56</v>
      </c>
      <c r="P89" s="45">
        <f t="shared" si="24"/>
        <v>370.56</v>
      </c>
      <c r="Q89" s="45">
        <f t="shared" si="24"/>
        <v>370.56</v>
      </c>
      <c r="R89" s="45">
        <f t="shared" si="24"/>
        <v>0</v>
      </c>
      <c r="S89" s="45">
        <f t="shared" si="24"/>
        <v>0</v>
      </c>
      <c r="T89" s="45"/>
    </row>
    <row r="90" spans="1:20" ht="17.25" customHeight="1" hidden="1">
      <c r="A90" s="159"/>
      <c r="B90" s="181"/>
      <c r="C90" s="19" t="s">
        <v>56</v>
      </c>
      <c r="D90" s="40"/>
      <c r="E90" s="40"/>
      <c r="F90" s="40"/>
      <c r="G90" s="40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pans="1:20" ht="57" customHeight="1" hidden="1">
      <c r="A91" s="159"/>
      <c r="B91" s="181"/>
      <c r="C91" s="19" t="s">
        <v>83</v>
      </c>
      <c r="D91" s="42">
        <v>557</v>
      </c>
      <c r="E91" s="42">
        <v>1101</v>
      </c>
      <c r="F91" s="43" t="s">
        <v>540</v>
      </c>
      <c r="G91" s="42" t="s">
        <v>185</v>
      </c>
      <c r="H91" s="45">
        <v>0</v>
      </c>
      <c r="I91" s="45">
        <v>0</v>
      </c>
      <c r="J91" s="45">
        <v>370.56</v>
      </c>
      <c r="K91" s="45">
        <v>0</v>
      </c>
      <c r="L91" s="45">
        <v>370.56</v>
      </c>
      <c r="M91" s="45">
        <v>370.56</v>
      </c>
      <c r="N91" s="45">
        <v>370.56</v>
      </c>
      <c r="O91" s="45">
        <v>370.56</v>
      </c>
      <c r="P91" s="45">
        <v>370.56</v>
      </c>
      <c r="Q91" s="45">
        <v>370.56</v>
      </c>
      <c r="R91" s="45">
        <v>0</v>
      </c>
      <c r="S91" s="45">
        <v>0</v>
      </c>
      <c r="T91" s="53"/>
    </row>
    <row r="92" spans="1:20" ht="26.25" customHeight="1">
      <c r="A92" s="161" t="s">
        <v>86</v>
      </c>
      <c r="B92" s="147" t="s">
        <v>669</v>
      </c>
      <c r="C92" s="19" t="s">
        <v>28</v>
      </c>
      <c r="D92" s="40" t="s">
        <v>82</v>
      </c>
      <c r="E92" s="40" t="s">
        <v>82</v>
      </c>
      <c r="F92" s="34" t="s">
        <v>82</v>
      </c>
      <c r="G92" s="40" t="s">
        <v>82</v>
      </c>
      <c r="H92" s="47">
        <f aca="true" t="shared" si="25" ref="H92:R92">SUM(H94:H101)</f>
        <v>25605.18</v>
      </c>
      <c r="I92" s="47">
        <f t="shared" si="25"/>
        <v>25605.18</v>
      </c>
      <c r="J92" s="47">
        <f t="shared" si="25"/>
        <v>4719.83498</v>
      </c>
      <c r="K92" s="47">
        <f t="shared" si="25"/>
        <v>3819.83703</v>
      </c>
      <c r="L92" s="47">
        <f t="shared" si="25"/>
        <v>12891.558729999999</v>
      </c>
      <c r="M92" s="47">
        <f t="shared" si="25"/>
        <v>11453.694709999998</v>
      </c>
      <c r="N92" s="47">
        <f t="shared" si="25"/>
        <v>17114.90899</v>
      </c>
      <c r="O92" s="47">
        <f t="shared" si="25"/>
        <v>13325.662999999999</v>
      </c>
      <c r="P92" s="47">
        <f t="shared" si="25"/>
        <v>23312.701319999996</v>
      </c>
      <c r="Q92" s="47">
        <f t="shared" si="25"/>
        <v>23312.701319999996</v>
      </c>
      <c r="R92" s="47">
        <f t="shared" si="25"/>
        <v>33427.3388</v>
      </c>
      <c r="S92" s="47">
        <f>SUM(S94:S98)</f>
        <v>0</v>
      </c>
      <c r="T92" s="45"/>
    </row>
    <row r="93" spans="1:20" ht="13.5" customHeight="1">
      <c r="A93" s="161"/>
      <c r="B93" s="147"/>
      <c r="C93" s="19" t="s">
        <v>56</v>
      </c>
      <c r="D93" s="40"/>
      <c r="E93" s="42"/>
      <c r="F93" s="43"/>
      <c r="G93" s="40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ht="24.75" customHeight="1">
      <c r="A94" s="161"/>
      <c r="B94" s="147"/>
      <c r="C94" s="157" t="s">
        <v>84</v>
      </c>
      <c r="D94" s="40">
        <v>558</v>
      </c>
      <c r="E94" s="42" t="s">
        <v>131</v>
      </c>
      <c r="F94" s="43" t="s">
        <v>126</v>
      </c>
      <c r="G94" s="40">
        <v>110</v>
      </c>
      <c r="H94" s="45">
        <v>13452.45</v>
      </c>
      <c r="I94" s="45">
        <v>13452.45</v>
      </c>
      <c r="J94" s="45">
        <v>3167.76</v>
      </c>
      <c r="K94" s="45">
        <v>2453.30635</v>
      </c>
      <c r="L94" s="45">
        <v>8644.742</v>
      </c>
      <c r="M94" s="45">
        <v>8548.98673</v>
      </c>
      <c r="N94" s="45">
        <f>L94+1848.84</f>
        <v>10493.582</v>
      </c>
      <c r="O94" s="45">
        <v>9812.62908</v>
      </c>
      <c r="P94" s="45">
        <v>13772.99562</v>
      </c>
      <c r="Q94" s="45">
        <v>13772.99562</v>
      </c>
      <c r="R94" s="45">
        <v>14858.1384</v>
      </c>
      <c r="S94" s="45">
        <v>0</v>
      </c>
      <c r="T94" s="53"/>
    </row>
    <row r="95" spans="1:20" ht="24.75" customHeight="1">
      <c r="A95" s="161"/>
      <c r="B95" s="147"/>
      <c r="C95" s="157"/>
      <c r="D95" s="40">
        <v>558</v>
      </c>
      <c r="E95" s="42" t="s">
        <v>131</v>
      </c>
      <c r="F95" s="43" t="s">
        <v>126</v>
      </c>
      <c r="G95" s="40">
        <v>240</v>
      </c>
      <c r="H95" s="45">
        <v>10635.69</v>
      </c>
      <c r="I95" s="45">
        <v>10635.69</v>
      </c>
      <c r="J95" s="45">
        <v>1262.55675</v>
      </c>
      <c r="K95" s="45">
        <v>1215.88401</v>
      </c>
      <c r="L95" s="45">
        <f>J95+2405.22499</f>
        <v>3667.7817400000004</v>
      </c>
      <c r="M95" s="45">
        <v>2325.67299</v>
      </c>
      <c r="N95" s="45">
        <f>L95+2084.9935</f>
        <v>5752.775240000001</v>
      </c>
      <c r="O95" s="45">
        <v>2885.48252</v>
      </c>
      <c r="P95" s="45">
        <v>8366.24208</v>
      </c>
      <c r="Q95" s="45">
        <v>8366.24208</v>
      </c>
      <c r="R95" s="45">
        <v>18569.2004</v>
      </c>
      <c r="S95" s="45">
        <v>0</v>
      </c>
      <c r="T95" s="53"/>
    </row>
    <row r="96" spans="1:20" ht="24.75" customHeight="1">
      <c r="A96" s="161"/>
      <c r="B96" s="147"/>
      <c r="C96" s="157"/>
      <c r="D96" s="40">
        <v>558</v>
      </c>
      <c r="E96" s="42" t="s">
        <v>131</v>
      </c>
      <c r="F96" s="43" t="s">
        <v>141</v>
      </c>
      <c r="G96" s="40">
        <v>110</v>
      </c>
      <c r="H96" s="45">
        <v>161.9</v>
      </c>
      <c r="I96" s="45">
        <v>161.9</v>
      </c>
      <c r="J96" s="45">
        <v>41.63826</v>
      </c>
      <c r="K96" s="45">
        <v>41.63826</v>
      </c>
      <c r="L96" s="45">
        <f>J96+41.63826</f>
        <v>83.27652</v>
      </c>
      <c r="M96" s="45">
        <f>L96</f>
        <v>83.27652</v>
      </c>
      <c r="N96" s="45">
        <f>L96+41.63826</f>
        <v>124.91478000000001</v>
      </c>
      <c r="O96" s="45">
        <f>N96</f>
        <v>124.91478000000001</v>
      </c>
      <c r="P96" s="45">
        <f>N96</f>
        <v>124.91478000000001</v>
      </c>
      <c r="Q96" s="45">
        <f>O96</f>
        <v>124.91478000000001</v>
      </c>
      <c r="R96" s="45">
        <v>0</v>
      </c>
      <c r="S96" s="45">
        <v>0</v>
      </c>
      <c r="T96" s="53"/>
    </row>
    <row r="97" spans="1:20" ht="24.75" customHeight="1">
      <c r="A97" s="161"/>
      <c r="B97" s="147"/>
      <c r="C97" s="157"/>
      <c r="D97" s="40">
        <v>558</v>
      </c>
      <c r="E97" s="42" t="s">
        <v>87</v>
      </c>
      <c r="F97" s="43" t="s">
        <v>539</v>
      </c>
      <c r="G97" s="40">
        <v>110</v>
      </c>
      <c r="H97" s="45">
        <v>0</v>
      </c>
      <c r="I97" s="45">
        <v>0</v>
      </c>
      <c r="J97" s="45">
        <v>0</v>
      </c>
      <c r="K97" s="45">
        <v>0</v>
      </c>
      <c r="L97" s="45">
        <f>J97</f>
        <v>0</v>
      </c>
      <c r="M97" s="45">
        <v>0</v>
      </c>
      <c r="N97" s="45">
        <f>L97</f>
        <v>0</v>
      </c>
      <c r="O97" s="45">
        <v>0</v>
      </c>
      <c r="P97" s="45">
        <v>20.29337</v>
      </c>
      <c r="Q97" s="45">
        <v>20.29337</v>
      </c>
      <c r="R97" s="45">
        <v>0</v>
      </c>
      <c r="S97" s="45">
        <v>0</v>
      </c>
      <c r="T97" s="53"/>
    </row>
    <row r="98" spans="1:20" ht="24.75" customHeight="1">
      <c r="A98" s="161"/>
      <c r="B98" s="147"/>
      <c r="C98" s="157"/>
      <c r="D98" s="40">
        <v>558</v>
      </c>
      <c r="E98" s="42" t="s">
        <v>131</v>
      </c>
      <c r="F98" s="43" t="s">
        <v>126</v>
      </c>
      <c r="G98" s="40">
        <v>850</v>
      </c>
      <c r="H98" s="45">
        <v>0</v>
      </c>
      <c r="I98" s="45">
        <v>0</v>
      </c>
      <c r="J98" s="45">
        <v>0.00147</v>
      </c>
      <c r="K98" s="45">
        <v>0.00147</v>
      </c>
      <c r="L98" s="45">
        <v>0.00147</v>
      </c>
      <c r="M98" s="45">
        <v>0.00147</v>
      </c>
      <c r="N98" s="45">
        <v>0.00147</v>
      </c>
      <c r="O98" s="45">
        <v>0.00147</v>
      </c>
      <c r="P98" s="45">
        <v>0.00147</v>
      </c>
      <c r="Q98" s="45">
        <v>0.00147</v>
      </c>
      <c r="R98" s="45">
        <v>0</v>
      </c>
      <c r="S98" s="45">
        <v>0</v>
      </c>
      <c r="T98" s="45"/>
    </row>
    <row r="99" spans="1:20" ht="24.75" customHeight="1">
      <c r="A99" s="161"/>
      <c r="B99" s="147"/>
      <c r="C99" s="157"/>
      <c r="D99" s="40">
        <v>558</v>
      </c>
      <c r="E99" s="42" t="s">
        <v>131</v>
      </c>
      <c r="F99" s="43" t="s">
        <v>538</v>
      </c>
      <c r="G99" s="40">
        <v>110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36.74</v>
      </c>
      <c r="Q99" s="45">
        <v>36.74</v>
      </c>
      <c r="R99" s="45">
        <v>0</v>
      </c>
      <c r="S99" s="45">
        <v>0</v>
      </c>
      <c r="T99" s="45"/>
    </row>
    <row r="100" spans="1:20" ht="23.25" customHeight="1">
      <c r="A100" s="161"/>
      <c r="B100" s="147"/>
      <c r="C100" s="157"/>
      <c r="D100" s="40">
        <v>558</v>
      </c>
      <c r="E100" s="42" t="s">
        <v>131</v>
      </c>
      <c r="F100" s="43" t="s">
        <v>160</v>
      </c>
      <c r="G100" s="40">
        <v>110</v>
      </c>
      <c r="H100" s="45">
        <v>493.21</v>
      </c>
      <c r="I100" s="45">
        <v>493.21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/>
    </row>
    <row r="101" spans="1:20" ht="22.5" customHeight="1">
      <c r="A101" s="161"/>
      <c r="B101" s="147"/>
      <c r="C101" s="157"/>
      <c r="D101" s="40">
        <v>558</v>
      </c>
      <c r="E101" s="42" t="s">
        <v>131</v>
      </c>
      <c r="F101" s="43" t="s">
        <v>161</v>
      </c>
      <c r="G101" s="40">
        <v>110</v>
      </c>
      <c r="H101" s="45">
        <v>861.93</v>
      </c>
      <c r="I101" s="45">
        <v>861.93</v>
      </c>
      <c r="J101" s="45">
        <v>247.8785</v>
      </c>
      <c r="K101" s="45">
        <v>109.00694</v>
      </c>
      <c r="L101" s="45">
        <f>J101+247.8785</f>
        <v>495.757</v>
      </c>
      <c r="M101" s="45">
        <f>495.757</f>
        <v>495.757</v>
      </c>
      <c r="N101" s="45">
        <f>L101+247.8785</f>
        <v>743.6355</v>
      </c>
      <c r="O101" s="45">
        <v>502.63515</v>
      </c>
      <c r="P101" s="45">
        <f>N101+247.8785</f>
        <v>991.514</v>
      </c>
      <c r="Q101" s="45">
        <v>991.514</v>
      </c>
      <c r="R101" s="45">
        <v>0</v>
      </c>
      <c r="S101" s="45">
        <v>0</v>
      </c>
      <c r="T101" s="45"/>
    </row>
    <row r="102" spans="1:20" ht="20.25" customHeight="1">
      <c r="A102" s="161" t="s">
        <v>727</v>
      </c>
      <c r="B102" s="147" t="s">
        <v>169</v>
      </c>
      <c r="C102" s="19" t="s">
        <v>28</v>
      </c>
      <c r="D102" s="40" t="s">
        <v>82</v>
      </c>
      <c r="E102" s="40" t="s">
        <v>82</v>
      </c>
      <c r="F102" s="40" t="s">
        <v>82</v>
      </c>
      <c r="G102" s="40" t="s">
        <v>82</v>
      </c>
      <c r="H102" s="47">
        <f>SUM(H104)</f>
        <v>400</v>
      </c>
      <c r="I102" s="47">
        <f aca="true" t="shared" si="26" ref="I102:S102">SUM(I104)</f>
        <v>400</v>
      </c>
      <c r="J102" s="47">
        <f t="shared" si="26"/>
        <v>90</v>
      </c>
      <c r="K102" s="47">
        <f t="shared" si="26"/>
        <v>0</v>
      </c>
      <c r="L102" s="47">
        <f t="shared" si="26"/>
        <v>170</v>
      </c>
      <c r="M102" s="47">
        <f t="shared" si="26"/>
        <v>170</v>
      </c>
      <c r="N102" s="47">
        <f t="shared" si="26"/>
        <v>400</v>
      </c>
      <c r="O102" s="47">
        <f t="shared" si="26"/>
        <v>285.75</v>
      </c>
      <c r="P102" s="47">
        <f t="shared" si="26"/>
        <v>400</v>
      </c>
      <c r="Q102" s="47">
        <f t="shared" si="26"/>
        <v>400</v>
      </c>
      <c r="R102" s="47">
        <f t="shared" si="26"/>
        <v>400</v>
      </c>
      <c r="S102" s="47">
        <f t="shared" si="26"/>
        <v>400</v>
      </c>
      <c r="T102" s="45"/>
    </row>
    <row r="103" spans="1:20" ht="21.75" customHeight="1">
      <c r="A103" s="161"/>
      <c r="B103" s="147"/>
      <c r="C103" s="19" t="s">
        <v>56</v>
      </c>
      <c r="D103" s="40"/>
      <c r="E103" s="40"/>
      <c r="F103" s="40"/>
      <c r="G103" s="40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ht="69.75" customHeight="1">
      <c r="A104" s="161"/>
      <c r="B104" s="147"/>
      <c r="C104" s="19" t="s">
        <v>116</v>
      </c>
      <c r="D104" s="40">
        <v>557</v>
      </c>
      <c r="E104" s="42" t="s">
        <v>170</v>
      </c>
      <c r="F104" s="43" t="s">
        <v>171</v>
      </c>
      <c r="G104" s="40">
        <v>244</v>
      </c>
      <c r="H104" s="45">
        <f>H105</f>
        <v>400</v>
      </c>
      <c r="I104" s="45">
        <f>I107</f>
        <v>400</v>
      </c>
      <c r="J104" s="45">
        <f aca="true" t="shared" si="27" ref="J104:S104">J105</f>
        <v>90</v>
      </c>
      <c r="K104" s="45">
        <f t="shared" si="27"/>
        <v>0</v>
      </c>
      <c r="L104" s="45">
        <f>L105</f>
        <v>170</v>
      </c>
      <c r="M104" s="45">
        <f>M105</f>
        <v>170</v>
      </c>
      <c r="N104" s="45">
        <f>N105</f>
        <v>400</v>
      </c>
      <c r="O104" s="45">
        <f>O105</f>
        <v>285.75</v>
      </c>
      <c r="P104" s="45">
        <f>P105</f>
        <v>400</v>
      </c>
      <c r="Q104" s="45">
        <f t="shared" si="27"/>
        <v>400</v>
      </c>
      <c r="R104" s="45">
        <f t="shared" si="27"/>
        <v>400</v>
      </c>
      <c r="S104" s="45">
        <f t="shared" si="27"/>
        <v>400</v>
      </c>
      <c r="T104" s="45"/>
    </row>
    <row r="105" spans="1:20" ht="25.5" customHeight="1">
      <c r="A105" s="159" t="s">
        <v>172</v>
      </c>
      <c r="B105" s="181" t="s">
        <v>173</v>
      </c>
      <c r="C105" s="19" t="s">
        <v>28</v>
      </c>
      <c r="D105" s="40" t="s">
        <v>82</v>
      </c>
      <c r="E105" s="40" t="s">
        <v>82</v>
      </c>
      <c r="F105" s="40" t="s">
        <v>82</v>
      </c>
      <c r="G105" s="40" t="s">
        <v>82</v>
      </c>
      <c r="H105" s="47">
        <f>SUM(H107)</f>
        <v>400</v>
      </c>
      <c r="I105" s="47">
        <f aca="true" t="shared" si="28" ref="I105:S105">SUM(I107)</f>
        <v>400</v>
      </c>
      <c r="J105" s="47">
        <f t="shared" si="28"/>
        <v>90</v>
      </c>
      <c r="K105" s="47">
        <f t="shared" si="28"/>
        <v>0</v>
      </c>
      <c r="L105" s="47">
        <f t="shared" si="28"/>
        <v>170</v>
      </c>
      <c r="M105" s="47">
        <f t="shared" si="28"/>
        <v>170</v>
      </c>
      <c r="N105" s="47">
        <f t="shared" si="28"/>
        <v>400</v>
      </c>
      <c r="O105" s="47">
        <f t="shared" si="28"/>
        <v>285.75</v>
      </c>
      <c r="P105" s="47">
        <f t="shared" si="28"/>
        <v>400</v>
      </c>
      <c r="Q105" s="47">
        <f t="shared" si="28"/>
        <v>400</v>
      </c>
      <c r="R105" s="47">
        <f t="shared" si="28"/>
        <v>400</v>
      </c>
      <c r="S105" s="47">
        <f t="shared" si="28"/>
        <v>400</v>
      </c>
      <c r="T105" s="45"/>
    </row>
    <row r="106" spans="1:20" ht="15.75">
      <c r="A106" s="159"/>
      <c r="B106" s="181"/>
      <c r="C106" s="19" t="s">
        <v>56</v>
      </c>
      <c r="D106" s="40"/>
      <c r="E106" s="40"/>
      <c r="F106" s="40"/>
      <c r="G106" s="40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ht="118.5" customHeight="1">
      <c r="A107" s="159"/>
      <c r="B107" s="181"/>
      <c r="C107" s="19" t="s">
        <v>116</v>
      </c>
      <c r="D107" s="40">
        <v>557</v>
      </c>
      <c r="E107" s="42" t="s">
        <v>170</v>
      </c>
      <c r="F107" s="43" t="s">
        <v>171</v>
      </c>
      <c r="G107" s="40">
        <v>244</v>
      </c>
      <c r="H107" s="45">
        <v>400</v>
      </c>
      <c r="I107" s="45">
        <v>400</v>
      </c>
      <c r="J107" s="45">
        <v>90</v>
      </c>
      <c r="K107" s="45">
        <v>0</v>
      </c>
      <c r="L107" s="45">
        <f>J107+80</f>
        <v>170</v>
      </c>
      <c r="M107" s="45">
        <v>170</v>
      </c>
      <c r="N107" s="45">
        <f>L107+230</f>
        <v>400</v>
      </c>
      <c r="O107" s="45">
        <v>285.75</v>
      </c>
      <c r="P107" s="45">
        <v>400</v>
      </c>
      <c r="Q107" s="45">
        <v>400</v>
      </c>
      <c r="R107" s="45">
        <v>400</v>
      </c>
      <c r="S107" s="45">
        <v>400</v>
      </c>
      <c r="T107" s="53"/>
    </row>
    <row r="108" spans="1:20" ht="15.75">
      <c r="A108" s="161" t="s">
        <v>728</v>
      </c>
      <c r="B108" s="147" t="s">
        <v>667</v>
      </c>
      <c r="C108" s="19" t="s">
        <v>28</v>
      </c>
      <c r="D108" s="40" t="s">
        <v>82</v>
      </c>
      <c r="E108" s="40" t="s">
        <v>82</v>
      </c>
      <c r="F108" s="40" t="s">
        <v>82</v>
      </c>
      <c r="G108" s="40" t="s">
        <v>82</v>
      </c>
      <c r="H108" s="47">
        <f>SUM(H110)</f>
        <v>420</v>
      </c>
      <c r="I108" s="47">
        <f aca="true" t="shared" si="29" ref="I108:S108">SUM(I110)</f>
        <v>420</v>
      </c>
      <c r="J108" s="47">
        <f t="shared" si="29"/>
        <v>83</v>
      </c>
      <c r="K108" s="47">
        <f t="shared" si="29"/>
        <v>33</v>
      </c>
      <c r="L108" s="47">
        <f t="shared" si="29"/>
        <v>148</v>
      </c>
      <c r="M108" s="47">
        <f t="shared" si="29"/>
        <v>114.17</v>
      </c>
      <c r="N108" s="47">
        <f t="shared" si="29"/>
        <v>420</v>
      </c>
      <c r="O108" s="47">
        <f t="shared" si="29"/>
        <v>139.891</v>
      </c>
      <c r="P108" s="47">
        <f t="shared" si="29"/>
        <v>420</v>
      </c>
      <c r="Q108" s="47">
        <f t="shared" si="29"/>
        <v>420</v>
      </c>
      <c r="R108" s="47">
        <f t="shared" si="29"/>
        <v>420</v>
      </c>
      <c r="S108" s="47">
        <f t="shared" si="29"/>
        <v>420</v>
      </c>
      <c r="T108" s="45"/>
    </row>
    <row r="109" spans="1:20" ht="15.75">
      <c r="A109" s="161"/>
      <c r="B109" s="147"/>
      <c r="C109" s="19" t="s">
        <v>56</v>
      </c>
      <c r="D109" s="40"/>
      <c r="E109" s="40"/>
      <c r="F109" s="40"/>
      <c r="G109" s="40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 ht="43.5" customHeight="1">
      <c r="A110" s="161"/>
      <c r="B110" s="147"/>
      <c r="C110" s="19" t="s">
        <v>83</v>
      </c>
      <c r="D110" s="42">
        <v>557</v>
      </c>
      <c r="E110" s="42">
        <v>1101</v>
      </c>
      <c r="F110" s="43" t="s">
        <v>184</v>
      </c>
      <c r="G110" s="42" t="s">
        <v>185</v>
      </c>
      <c r="H110" s="45">
        <f>H111</f>
        <v>420</v>
      </c>
      <c r="I110" s="45">
        <f aca="true" t="shared" si="30" ref="I110:S110">I111</f>
        <v>420</v>
      </c>
      <c r="J110" s="45">
        <f t="shared" si="30"/>
        <v>83</v>
      </c>
      <c r="K110" s="45">
        <f t="shared" si="30"/>
        <v>33</v>
      </c>
      <c r="L110" s="45">
        <f t="shared" si="30"/>
        <v>148</v>
      </c>
      <c r="M110" s="45">
        <f t="shared" si="30"/>
        <v>114.17</v>
      </c>
      <c r="N110" s="45">
        <f t="shared" si="30"/>
        <v>420</v>
      </c>
      <c r="O110" s="45">
        <f t="shared" si="30"/>
        <v>139.891</v>
      </c>
      <c r="P110" s="45">
        <f t="shared" si="30"/>
        <v>420</v>
      </c>
      <c r="Q110" s="45">
        <f t="shared" si="30"/>
        <v>420</v>
      </c>
      <c r="R110" s="45">
        <f t="shared" si="30"/>
        <v>420</v>
      </c>
      <c r="S110" s="45">
        <f t="shared" si="30"/>
        <v>420</v>
      </c>
      <c r="T110" s="45"/>
    </row>
    <row r="111" spans="1:20" ht="25.5" customHeight="1">
      <c r="A111" s="159" t="s">
        <v>172</v>
      </c>
      <c r="B111" s="181" t="s">
        <v>186</v>
      </c>
      <c r="C111" s="19" t="s">
        <v>28</v>
      </c>
      <c r="D111" s="40" t="s">
        <v>82</v>
      </c>
      <c r="E111" s="40" t="s">
        <v>82</v>
      </c>
      <c r="F111" s="40" t="s">
        <v>82</v>
      </c>
      <c r="G111" s="40" t="s">
        <v>82</v>
      </c>
      <c r="H111" s="45">
        <f>SUM(H113)</f>
        <v>420</v>
      </c>
      <c r="I111" s="45">
        <f aca="true" t="shared" si="31" ref="I111:S111">SUM(I113)</f>
        <v>420</v>
      </c>
      <c r="J111" s="45">
        <f t="shared" si="31"/>
        <v>83</v>
      </c>
      <c r="K111" s="45">
        <f t="shared" si="31"/>
        <v>33</v>
      </c>
      <c r="L111" s="45">
        <f t="shared" si="31"/>
        <v>148</v>
      </c>
      <c r="M111" s="45">
        <f t="shared" si="31"/>
        <v>114.17</v>
      </c>
      <c r="N111" s="45">
        <f t="shared" si="31"/>
        <v>420</v>
      </c>
      <c r="O111" s="45">
        <f t="shared" si="31"/>
        <v>139.891</v>
      </c>
      <c r="P111" s="45">
        <f t="shared" si="31"/>
        <v>420</v>
      </c>
      <c r="Q111" s="45">
        <f t="shared" si="31"/>
        <v>420</v>
      </c>
      <c r="R111" s="45">
        <f t="shared" si="31"/>
        <v>420</v>
      </c>
      <c r="S111" s="45">
        <f t="shared" si="31"/>
        <v>420</v>
      </c>
      <c r="T111" s="45"/>
    </row>
    <row r="112" spans="1:20" ht="15.75">
      <c r="A112" s="159"/>
      <c r="B112" s="181"/>
      <c r="C112" s="19" t="s">
        <v>56</v>
      </c>
      <c r="D112" s="40"/>
      <c r="E112" s="40"/>
      <c r="F112" s="40"/>
      <c r="G112" s="40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 ht="48.75" customHeight="1">
      <c r="A113" s="159"/>
      <c r="B113" s="181"/>
      <c r="C113" s="19" t="s">
        <v>83</v>
      </c>
      <c r="D113" s="42">
        <v>557</v>
      </c>
      <c r="E113" s="42">
        <v>1101</v>
      </c>
      <c r="F113" s="43" t="s">
        <v>184</v>
      </c>
      <c r="G113" s="42" t="s">
        <v>185</v>
      </c>
      <c r="H113" s="45">
        <v>420</v>
      </c>
      <c r="I113" s="45">
        <v>420</v>
      </c>
      <c r="J113" s="45">
        <v>83</v>
      </c>
      <c r="K113" s="45">
        <v>33</v>
      </c>
      <c r="L113" s="45">
        <f>J113+65</f>
        <v>148</v>
      </c>
      <c r="M113" s="45">
        <v>114.17</v>
      </c>
      <c r="N113" s="45">
        <f>L113+50+222</f>
        <v>420</v>
      </c>
      <c r="O113" s="45">
        <v>139.891</v>
      </c>
      <c r="P113" s="45">
        <v>420</v>
      </c>
      <c r="Q113" s="45">
        <v>420</v>
      </c>
      <c r="R113" s="45">
        <v>420</v>
      </c>
      <c r="S113" s="45">
        <v>420</v>
      </c>
      <c r="T113" s="53"/>
    </row>
    <row r="114" spans="1:20" ht="27.75" customHeight="1">
      <c r="A114" s="161" t="s">
        <v>729</v>
      </c>
      <c r="B114" s="147" t="s">
        <v>668</v>
      </c>
      <c r="C114" s="19" t="s">
        <v>28</v>
      </c>
      <c r="D114" s="40" t="s">
        <v>196</v>
      </c>
      <c r="E114" s="40" t="s">
        <v>196</v>
      </c>
      <c r="F114" s="40" t="s">
        <v>196</v>
      </c>
      <c r="G114" s="40" t="s">
        <v>196</v>
      </c>
      <c r="H114" s="47">
        <v>2099.89</v>
      </c>
      <c r="I114" s="47">
        <v>2463.16</v>
      </c>
      <c r="J114" s="47">
        <v>1272.07</v>
      </c>
      <c r="K114" s="47">
        <v>1272.07</v>
      </c>
      <c r="L114" s="47">
        <v>2073.52</v>
      </c>
      <c r="M114" s="47">
        <v>2073.52</v>
      </c>
      <c r="N114" s="47">
        <v>2073.52</v>
      </c>
      <c r="O114" s="47">
        <v>2073.52</v>
      </c>
      <c r="P114" s="47">
        <v>2073.52</v>
      </c>
      <c r="Q114" s="47">
        <v>2073.52</v>
      </c>
      <c r="R114" s="47">
        <v>2100.66</v>
      </c>
      <c r="S114" s="47">
        <v>2100.66</v>
      </c>
      <c r="T114" s="53"/>
    </row>
    <row r="115" spans="1:20" ht="15.75">
      <c r="A115" s="161"/>
      <c r="B115" s="147"/>
      <c r="C115" s="19" t="s">
        <v>56</v>
      </c>
      <c r="D115" s="40" t="s">
        <v>196</v>
      </c>
      <c r="E115" s="40" t="s">
        <v>196</v>
      </c>
      <c r="F115" s="40" t="s">
        <v>196</v>
      </c>
      <c r="G115" s="40" t="s">
        <v>196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ht="22.5" customHeight="1">
      <c r="A116" s="161"/>
      <c r="B116" s="147"/>
      <c r="C116" s="157" t="s">
        <v>197</v>
      </c>
      <c r="D116" s="40">
        <v>501</v>
      </c>
      <c r="E116" s="42" t="s">
        <v>198</v>
      </c>
      <c r="F116" s="42" t="s">
        <v>199</v>
      </c>
      <c r="G116" s="40" t="s">
        <v>200</v>
      </c>
      <c r="H116" s="45">
        <v>2099.89</v>
      </c>
      <c r="I116" s="45">
        <v>2463.16</v>
      </c>
      <c r="J116" s="45">
        <v>1272.07</v>
      </c>
      <c r="K116" s="45">
        <v>1272.07</v>
      </c>
      <c r="L116" s="45">
        <v>2073.52</v>
      </c>
      <c r="M116" s="45">
        <v>2073.52</v>
      </c>
      <c r="N116" s="45">
        <v>2073.52</v>
      </c>
      <c r="O116" s="45">
        <v>2073.52</v>
      </c>
      <c r="P116" s="45">
        <v>2073.52</v>
      </c>
      <c r="Q116" s="45">
        <v>2073.52</v>
      </c>
      <c r="R116" s="45">
        <v>2100.66</v>
      </c>
      <c r="S116" s="45">
        <v>2100.66</v>
      </c>
      <c r="T116" s="45"/>
    </row>
    <row r="117" spans="1:20" ht="33" customHeight="1">
      <c r="A117" s="161"/>
      <c r="B117" s="147"/>
      <c r="C117" s="157"/>
      <c r="D117" s="40"/>
      <c r="E117" s="40"/>
      <c r="F117" s="40"/>
      <c r="G117" s="40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ht="25.5" customHeight="1">
      <c r="A118" s="159" t="s">
        <v>201</v>
      </c>
      <c r="B118" s="181" t="s">
        <v>202</v>
      </c>
      <c r="C118" s="19" t="s">
        <v>28</v>
      </c>
      <c r="D118" s="40" t="s">
        <v>196</v>
      </c>
      <c r="E118" s="40" t="s">
        <v>196</v>
      </c>
      <c r="F118" s="40" t="s">
        <v>196</v>
      </c>
      <c r="G118" s="40" t="s">
        <v>196</v>
      </c>
      <c r="H118" s="45">
        <v>2099.89</v>
      </c>
      <c r="I118" s="45">
        <v>2463.16</v>
      </c>
      <c r="J118" s="45">
        <v>1272.07</v>
      </c>
      <c r="K118" s="45">
        <v>1272.07</v>
      </c>
      <c r="L118" s="45">
        <v>2073.52</v>
      </c>
      <c r="M118" s="45">
        <v>2073.52</v>
      </c>
      <c r="N118" s="45">
        <v>2073.52</v>
      </c>
      <c r="O118" s="45">
        <v>2073.52</v>
      </c>
      <c r="P118" s="45">
        <v>2073.52</v>
      </c>
      <c r="Q118" s="45">
        <v>2073.52</v>
      </c>
      <c r="R118" s="45">
        <v>2100.66</v>
      </c>
      <c r="S118" s="45">
        <v>2100.66</v>
      </c>
      <c r="T118" s="45"/>
    </row>
    <row r="119" spans="1:20" ht="15.75">
      <c r="A119" s="159"/>
      <c r="B119" s="181"/>
      <c r="C119" s="19" t="s">
        <v>56</v>
      </c>
      <c r="D119" s="40" t="s">
        <v>196</v>
      </c>
      <c r="E119" s="40" t="s">
        <v>196</v>
      </c>
      <c r="F119" s="40" t="s">
        <v>196</v>
      </c>
      <c r="G119" s="40" t="s">
        <v>196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1:20" ht="15.75">
      <c r="A120" s="159"/>
      <c r="B120" s="181"/>
      <c r="C120" s="157" t="s">
        <v>197</v>
      </c>
      <c r="D120" s="40">
        <v>501</v>
      </c>
      <c r="E120" s="42" t="s">
        <v>198</v>
      </c>
      <c r="F120" s="42" t="s">
        <v>203</v>
      </c>
      <c r="G120" s="40">
        <v>810</v>
      </c>
      <c r="H120" s="45">
        <v>2099.89</v>
      </c>
      <c r="I120" s="45">
        <v>2463.16</v>
      </c>
      <c r="J120" s="45">
        <v>1272.07</v>
      </c>
      <c r="K120" s="45">
        <v>1272.07</v>
      </c>
      <c r="L120" s="45">
        <v>2073.52</v>
      </c>
      <c r="M120" s="45">
        <v>2073.52</v>
      </c>
      <c r="N120" s="45">
        <v>2073.52</v>
      </c>
      <c r="O120" s="45">
        <v>2073.52</v>
      </c>
      <c r="P120" s="45">
        <v>2073.52</v>
      </c>
      <c r="Q120" s="45">
        <v>2073.52</v>
      </c>
      <c r="R120" s="45">
        <v>2100.66</v>
      </c>
      <c r="S120" s="45">
        <v>2100.66</v>
      </c>
      <c r="T120" s="45"/>
    </row>
    <row r="121" spans="1:20" ht="53.25" customHeight="1">
      <c r="A121" s="159"/>
      <c r="B121" s="181"/>
      <c r="C121" s="157"/>
      <c r="D121" s="40"/>
      <c r="E121" s="40"/>
      <c r="F121" s="40"/>
      <c r="G121" s="40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:20" ht="21" customHeight="1">
      <c r="A122" s="161" t="s">
        <v>730</v>
      </c>
      <c r="B122" s="147" t="s">
        <v>229</v>
      </c>
      <c r="C122" s="19" t="s">
        <v>28</v>
      </c>
      <c r="D122" s="40">
        <v>501</v>
      </c>
      <c r="E122" s="42" t="s">
        <v>230</v>
      </c>
      <c r="F122" s="42" t="s">
        <v>231</v>
      </c>
      <c r="G122" s="40" t="s">
        <v>196</v>
      </c>
      <c r="H122" s="47">
        <v>7399.12</v>
      </c>
      <c r="I122" s="47">
        <v>6014.62</v>
      </c>
      <c r="J122" s="47">
        <f>J125+J131</f>
        <v>2520.22</v>
      </c>
      <c r="K122" s="47">
        <f>K125+K131</f>
        <v>1289.54</v>
      </c>
      <c r="L122" s="47">
        <f>L125+L131</f>
        <v>4003.12</v>
      </c>
      <c r="M122" s="47">
        <f>M125+M131</f>
        <v>3445.25</v>
      </c>
      <c r="N122" s="47">
        <f>N125+N131</f>
        <v>5578.870000000001</v>
      </c>
      <c r="O122" s="47">
        <f>SUM(O125+O131)</f>
        <v>4697.98</v>
      </c>
      <c r="P122" s="47">
        <f>P125+P131</f>
        <v>6029.82</v>
      </c>
      <c r="Q122" s="47">
        <f>Q125+Q131</f>
        <v>6029.82</v>
      </c>
      <c r="R122" s="47">
        <v>7399.4</v>
      </c>
      <c r="S122" s="47">
        <f>S125+S131</f>
        <v>7399.400000000001</v>
      </c>
      <c r="T122" s="45"/>
    </row>
    <row r="123" spans="1:20" ht="15.75">
      <c r="A123" s="161"/>
      <c r="B123" s="147"/>
      <c r="C123" s="19" t="s">
        <v>56</v>
      </c>
      <c r="D123" s="40"/>
      <c r="E123" s="42"/>
      <c r="F123" s="42"/>
      <c r="G123" s="40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ht="72.75" customHeight="1">
      <c r="A124" s="161"/>
      <c r="B124" s="147"/>
      <c r="C124" s="19" t="s">
        <v>232</v>
      </c>
      <c r="D124" s="40">
        <v>501</v>
      </c>
      <c r="E124" s="42" t="s">
        <v>230</v>
      </c>
      <c r="F124" s="42" t="s">
        <v>231</v>
      </c>
      <c r="G124" s="40" t="s">
        <v>196</v>
      </c>
      <c r="H124" s="45">
        <v>7399.12</v>
      </c>
      <c r="I124" s="45">
        <v>6014.62</v>
      </c>
      <c r="J124" s="45">
        <v>1605.52</v>
      </c>
      <c r="K124" s="45">
        <f>K127+K133</f>
        <v>1289.54</v>
      </c>
      <c r="L124" s="45">
        <f>L127+L133</f>
        <v>4003.12</v>
      </c>
      <c r="M124" s="45">
        <f>M127+M133</f>
        <v>3445.25</v>
      </c>
      <c r="N124" s="45">
        <f>N127+N133</f>
        <v>5578.870000000001</v>
      </c>
      <c r="O124" s="45">
        <f>O127+O133</f>
        <v>4697.98</v>
      </c>
      <c r="P124" s="45">
        <f>P127+P136</f>
        <v>6029.82</v>
      </c>
      <c r="Q124" s="45">
        <f>Q127+Q136</f>
        <v>6029.82</v>
      </c>
      <c r="R124" s="45">
        <v>7399.4</v>
      </c>
      <c r="S124" s="45">
        <v>7399.4</v>
      </c>
      <c r="T124" s="45"/>
    </row>
    <row r="125" spans="1:20" ht="15.75">
      <c r="A125" s="159" t="s">
        <v>31</v>
      </c>
      <c r="B125" s="181" t="s">
        <v>233</v>
      </c>
      <c r="C125" s="19" t="s">
        <v>28</v>
      </c>
      <c r="D125" s="40">
        <v>501</v>
      </c>
      <c r="E125" s="42" t="s">
        <v>230</v>
      </c>
      <c r="F125" s="42" t="s">
        <v>234</v>
      </c>
      <c r="G125" s="40" t="s">
        <v>196</v>
      </c>
      <c r="H125" s="45">
        <v>914.6</v>
      </c>
      <c r="I125" s="45">
        <v>730.83</v>
      </c>
      <c r="J125" s="45">
        <v>914.6</v>
      </c>
      <c r="K125" s="53">
        <f>K130</f>
        <v>0</v>
      </c>
      <c r="L125" s="45">
        <v>914.6</v>
      </c>
      <c r="M125" s="53">
        <v>880.78</v>
      </c>
      <c r="N125" s="45">
        <v>914.6</v>
      </c>
      <c r="O125" s="53">
        <v>880.75</v>
      </c>
      <c r="P125" s="45">
        <v>880.75</v>
      </c>
      <c r="Q125" s="45">
        <v>880.75</v>
      </c>
      <c r="R125" s="45">
        <v>914.6</v>
      </c>
      <c r="S125" s="45">
        <v>914.6</v>
      </c>
      <c r="T125" s="53"/>
    </row>
    <row r="126" spans="1:20" ht="15.75">
      <c r="A126" s="159"/>
      <c r="B126" s="181"/>
      <c r="C126" s="19" t="s">
        <v>56</v>
      </c>
      <c r="D126" s="40"/>
      <c r="E126" s="42"/>
      <c r="F126" s="42"/>
      <c r="G126" s="40" t="s">
        <v>196</v>
      </c>
      <c r="H126" s="45"/>
      <c r="I126" s="45"/>
      <c r="J126" s="45"/>
      <c r="K126" s="45"/>
      <c r="L126" s="45"/>
      <c r="M126" s="45"/>
      <c r="N126" s="45"/>
      <c r="O126" s="53"/>
      <c r="P126" s="45"/>
      <c r="Q126" s="45"/>
      <c r="R126" s="45"/>
      <c r="S126" s="45"/>
      <c r="T126" s="53"/>
    </row>
    <row r="127" spans="1:20" ht="53.25" customHeight="1">
      <c r="A127" s="159"/>
      <c r="B127" s="181"/>
      <c r="C127" s="19" t="s">
        <v>232</v>
      </c>
      <c r="D127" s="40">
        <v>501</v>
      </c>
      <c r="E127" s="42" t="s">
        <v>230</v>
      </c>
      <c r="F127" s="42" t="s">
        <v>234</v>
      </c>
      <c r="G127" s="40"/>
      <c r="H127" s="45">
        <v>914.6</v>
      </c>
      <c r="I127" s="45">
        <v>730.83</v>
      </c>
      <c r="J127" s="45">
        <v>914.6</v>
      </c>
      <c r="K127" s="53">
        <f>K132</f>
        <v>0</v>
      </c>
      <c r="L127" s="45">
        <v>914.6</v>
      </c>
      <c r="M127" s="53">
        <v>880.78</v>
      </c>
      <c r="N127" s="45">
        <v>914.6</v>
      </c>
      <c r="O127" s="53">
        <v>880.75</v>
      </c>
      <c r="P127" s="45">
        <v>880.75</v>
      </c>
      <c r="Q127" s="45">
        <v>880.75</v>
      </c>
      <c r="R127" s="45">
        <v>914.6</v>
      </c>
      <c r="S127" s="45">
        <v>914.6</v>
      </c>
      <c r="T127" s="53"/>
    </row>
    <row r="128" spans="1:20" ht="15" customHeight="1">
      <c r="A128" s="159" t="s">
        <v>201</v>
      </c>
      <c r="B128" s="181" t="s">
        <v>235</v>
      </c>
      <c r="C128" s="19" t="s">
        <v>28</v>
      </c>
      <c r="D128" s="40">
        <v>501</v>
      </c>
      <c r="E128" s="42" t="s">
        <v>230</v>
      </c>
      <c r="F128" s="42" t="s">
        <v>236</v>
      </c>
      <c r="G128" s="40">
        <v>810</v>
      </c>
      <c r="H128" s="45">
        <v>914.6</v>
      </c>
      <c r="I128" s="45">
        <v>730.83</v>
      </c>
      <c r="J128" s="45">
        <v>914.6</v>
      </c>
      <c r="K128" s="53">
        <v>0</v>
      </c>
      <c r="L128" s="45">
        <v>914.6</v>
      </c>
      <c r="M128" s="53">
        <v>880.78</v>
      </c>
      <c r="N128" s="45">
        <v>914.6</v>
      </c>
      <c r="O128" s="53">
        <v>880.75</v>
      </c>
      <c r="P128" s="45">
        <v>880.75</v>
      </c>
      <c r="Q128" s="45">
        <v>880.75</v>
      </c>
      <c r="R128" s="45">
        <v>914.6</v>
      </c>
      <c r="S128" s="45">
        <v>914.6</v>
      </c>
      <c r="T128" s="53"/>
    </row>
    <row r="129" spans="1:20" ht="15.75">
      <c r="A129" s="159"/>
      <c r="B129" s="181"/>
      <c r="C129" s="19" t="s">
        <v>56</v>
      </c>
      <c r="D129" s="40"/>
      <c r="E129" s="42"/>
      <c r="F129" s="42"/>
      <c r="G129" s="40"/>
      <c r="H129" s="45"/>
      <c r="I129" s="45"/>
      <c r="J129" s="45"/>
      <c r="K129" s="45"/>
      <c r="L129" s="45"/>
      <c r="M129" s="53"/>
      <c r="N129" s="45"/>
      <c r="O129" s="53"/>
      <c r="P129" s="45"/>
      <c r="Q129" s="45"/>
      <c r="R129" s="45"/>
      <c r="S129" s="45"/>
      <c r="T129" s="53"/>
    </row>
    <row r="130" spans="1:20" ht="60" customHeight="1">
      <c r="A130" s="159"/>
      <c r="B130" s="181"/>
      <c r="C130" s="19" t="s">
        <v>232</v>
      </c>
      <c r="D130" s="40">
        <v>501</v>
      </c>
      <c r="E130" s="42" t="s">
        <v>230</v>
      </c>
      <c r="F130" s="42" t="s">
        <v>236</v>
      </c>
      <c r="G130" s="40">
        <v>810</v>
      </c>
      <c r="H130" s="45">
        <v>914.6</v>
      </c>
      <c r="I130" s="45">
        <v>730.83</v>
      </c>
      <c r="J130" s="45">
        <v>914.6</v>
      </c>
      <c r="K130" s="53">
        <f>K135</f>
        <v>0</v>
      </c>
      <c r="L130" s="45">
        <v>914.6</v>
      </c>
      <c r="M130" s="53">
        <v>880.78</v>
      </c>
      <c r="N130" s="45">
        <v>914.6</v>
      </c>
      <c r="O130" s="53">
        <v>880.75</v>
      </c>
      <c r="P130" s="45">
        <v>880.75</v>
      </c>
      <c r="Q130" s="45">
        <v>880.75</v>
      </c>
      <c r="R130" s="45">
        <v>914.6</v>
      </c>
      <c r="S130" s="45">
        <v>914.6</v>
      </c>
      <c r="T130" s="53"/>
    </row>
    <row r="131" spans="1:20" ht="18.75" customHeight="1">
      <c r="A131" s="159" t="s">
        <v>86</v>
      </c>
      <c r="B131" s="181" t="s">
        <v>237</v>
      </c>
      <c r="C131" s="19" t="s">
        <v>28</v>
      </c>
      <c r="D131" s="40">
        <v>501</v>
      </c>
      <c r="E131" s="42" t="s">
        <v>230</v>
      </c>
      <c r="F131" s="42" t="s">
        <v>238</v>
      </c>
      <c r="G131" s="40" t="s">
        <v>196</v>
      </c>
      <c r="H131" s="45">
        <v>6484.52</v>
      </c>
      <c r="I131" s="45">
        <v>5133.87</v>
      </c>
      <c r="J131" s="45">
        <v>1605.62</v>
      </c>
      <c r="K131" s="45">
        <v>1289.54</v>
      </c>
      <c r="L131" s="45">
        <v>3088.52</v>
      </c>
      <c r="M131" s="45">
        <v>2564.47</v>
      </c>
      <c r="N131" s="45">
        <v>4664.27</v>
      </c>
      <c r="O131" s="45">
        <v>3817.23</v>
      </c>
      <c r="P131" s="45">
        <v>5149.07</v>
      </c>
      <c r="Q131" s="45">
        <v>5149.07</v>
      </c>
      <c r="R131" s="45">
        <v>6484.8</v>
      </c>
      <c r="S131" s="45">
        <v>6484.8</v>
      </c>
      <c r="T131" s="53"/>
    </row>
    <row r="132" spans="1:20" ht="15.75">
      <c r="A132" s="159"/>
      <c r="B132" s="181"/>
      <c r="C132" s="19" t="s">
        <v>56</v>
      </c>
      <c r="D132" s="40"/>
      <c r="E132" s="42"/>
      <c r="F132" s="42"/>
      <c r="G132" s="40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53"/>
    </row>
    <row r="133" spans="1:20" ht="75.75" customHeight="1">
      <c r="A133" s="159"/>
      <c r="B133" s="181"/>
      <c r="C133" s="19" t="s">
        <v>232</v>
      </c>
      <c r="D133" s="40">
        <v>501</v>
      </c>
      <c r="E133" s="42" t="s">
        <v>230</v>
      </c>
      <c r="F133" s="42" t="s">
        <v>238</v>
      </c>
      <c r="G133" s="40" t="s">
        <v>196</v>
      </c>
      <c r="H133" s="45">
        <v>6484.8</v>
      </c>
      <c r="I133" s="45">
        <v>6176.62</v>
      </c>
      <c r="J133" s="45">
        <v>1605.62</v>
      </c>
      <c r="K133" s="45">
        <v>1289.54</v>
      </c>
      <c r="L133" s="45">
        <v>3088.52</v>
      </c>
      <c r="M133" s="45">
        <v>2564.47</v>
      </c>
      <c r="N133" s="45">
        <v>4664.27</v>
      </c>
      <c r="O133" s="45">
        <v>3817.23</v>
      </c>
      <c r="P133" s="45">
        <f>P134</f>
        <v>5149.07</v>
      </c>
      <c r="Q133" s="45">
        <v>5149.07</v>
      </c>
      <c r="R133" s="45">
        <v>6484.8</v>
      </c>
      <c r="S133" s="45">
        <v>6484.8</v>
      </c>
      <c r="T133" s="53"/>
    </row>
    <row r="134" spans="1:20" ht="25.5" customHeight="1">
      <c r="A134" s="159" t="s">
        <v>239</v>
      </c>
      <c r="B134" s="181" t="s">
        <v>240</v>
      </c>
      <c r="C134" s="19" t="s">
        <v>28</v>
      </c>
      <c r="D134" s="40">
        <v>501</v>
      </c>
      <c r="E134" s="42" t="s">
        <v>230</v>
      </c>
      <c r="F134" s="42" t="s">
        <v>241</v>
      </c>
      <c r="G134" s="40">
        <v>810</v>
      </c>
      <c r="H134" s="45">
        <v>6484.8</v>
      </c>
      <c r="I134" s="45">
        <v>6176.62</v>
      </c>
      <c r="J134" s="45">
        <v>1605.62</v>
      </c>
      <c r="K134" s="45">
        <v>1289.54</v>
      </c>
      <c r="L134" s="45">
        <v>3088.52</v>
      </c>
      <c r="M134" s="45">
        <v>2564.47</v>
      </c>
      <c r="N134" s="45">
        <v>4664.27</v>
      </c>
      <c r="O134" s="45">
        <v>3817.23</v>
      </c>
      <c r="P134" s="45">
        <v>5149.07</v>
      </c>
      <c r="Q134" s="45">
        <v>5149.07</v>
      </c>
      <c r="R134" s="45">
        <v>6484.8</v>
      </c>
      <c r="S134" s="45">
        <v>6484.8</v>
      </c>
      <c r="T134" s="53"/>
    </row>
    <row r="135" spans="1:20" ht="15.75">
      <c r="A135" s="159"/>
      <c r="B135" s="181"/>
      <c r="C135" s="19" t="s">
        <v>56</v>
      </c>
      <c r="D135" s="40"/>
      <c r="E135" s="42"/>
      <c r="F135" s="42"/>
      <c r="G135" s="40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53"/>
    </row>
    <row r="136" spans="1:20" ht="45.75" customHeight="1">
      <c r="A136" s="159"/>
      <c r="B136" s="181"/>
      <c r="C136" s="19" t="s">
        <v>232</v>
      </c>
      <c r="D136" s="40">
        <v>501</v>
      </c>
      <c r="E136" s="42" t="s">
        <v>230</v>
      </c>
      <c r="F136" s="42" t="s">
        <v>241</v>
      </c>
      <c r="G136" s="40">
        <v>810</v>
      </c>
      <c r="H136" s="45">
        <v>6484.8</v>
      </c>
      <c r="I136" s="45">
        <v>6176.62</v>
      </c>
      <c r="J136" s="45">
        <v>1605.62</v>
      </c>
      <c r="K136" s="45">
        <v>1289.54</v>
      </c>
      <c r="L136" s="45">
        <v>3088.52</v>
      </c>
      <c r="M136" s="45">
        <v>2564.47</v>
      </c>
      <c r="N136" s="45">
        <v>4664.27</v>
      </c>
      <c r="O136" s="45">
        <v>3817.23</v>
      </c>
      <c r="P136" s="45">
        <v>5149.07</v>
      </c>
      <c r="Q136" s="45">
        <v>5149.07</v>
      </c>
      <c r="R136" s="45">
        <v>6484.8</v>
      </c>
      <c r="S136" s="45">
        <v>6484.8</v>
      </c>
      <c r="T136" s="53"/>
    </row>
    <row r="137" spans="1:20" ht="45.75" customHeight="1" hidden="1">
      <c r="A137" s="94" t="s">
        <v>58</v>
      </c>
      <c r="B137" s="33" t="s">
        <v>688</v>
      </c>
      <c r="C137" s="19" t="s">
        <v>602</v>
      </c>
      <c r="D137" s="40"/>
      <c r="E137" s="42"/>
      <c r="F137" s="42"/>
      <c r="G137" s="40"/>
      <c r="H137" s="47">
        <f>H138+H142</f>
        <v>6008.997</v>
      </c>
      <c r="I137" s="47">
        <f aca="true" t="shared" si="32" ref="I137:R137">I138+I142</f>
        <v>2994.7143</v>
      </c>
      <c r="J137" s="47">
        <f t="shared" si="32"/>
        <v>0</v>
      </c>
      <c r="K137" s="47">
        <f t="shared" si="32"/>
        <v>0</v>
      </c>
      <c r="L137" s="47">
        <f t="shared" si="32"/>
        <v>5361.53671</v>
      </c>
      <c r="M137" s="47">
        <f t="shared" si="32"/>
        <v>5361.53671</v>
      </c>
      <c r="N137" s="47">
        <f t="shared" si="32"/>
        <v>12310.8847</v>
      </c>
      <c r="O137" s="47">
        <f t="shared" si="32"/>
        <v>12310.8847</v>
      </c>
      <c r="P137" s="47">
        <f t="shared" si="32"/>
        <v>12987.458709999999</v>
      </c>
      <c r="Q137" s="47">
        <f t="shared" si="32"/>
        <v>12987.458709999999</v>
      </c>
      <c r="R137" s="47">
        <f t="shared" si="32"/>
        <v>8183.51616</v>
      </c>
      <c r="S137" s="47"/>
      <c r="T137" s="53"/>
    </row>
    <row r="138" spans="1:20" ht="64.5" customHeight="1">
      <c r="A138" s="161" t="s">
        <v>731</v>
      </c>
      <c r="B138" s="147" t="s">
        <v>695</v>
      </c>
      <c r="C138" s="19" t="s">
        <v>602</v>
      </c>
      <c r="D138" s="42" t="s">
        <v>271</v>
      </c>
      <c r="E138" s="42" t="s">
        <v>272</v>
      </c>
      <c r="F138" s="42" t="s">
        <v>273</v>
      </c>
      <c r="G138" s="34"/>
      <c r="H138" s="47">
        <f>H141+H140</f>
        <v>6008.997</v>
      </c>
      <c r="I138" s="47">
        <f>I141+I140</f>
        <v>2994.7143</v>
      </c>
      <c r="J138" s="47">
        <v>0</v>
      </c>
      <c r="K138" s="47">
        <v>0</v>
      </c>
      <c r="L138" s="47">
        <f aca="true" t="shared" si="33" ref="L138:Q138">L140+L141</f>
        <v>5361.53671</v>
      </c>
      <c r="M138" s="47">
        <f t="shared" si="33"/>
        <v>5361.53671</v>
      </c>
      <c r="N138" s="47">
        <f t="shared" si="33"/>
        <v>6909.1247</v>
      </c>
      <c r="O138" s="47">
        <f t="shared" si="33"/>
        <v>6909.1247</v>
      </c>
      <c r="P138" s="47">
        <f t="shared" si="33"/>
        <v>7585.69871</v>
      </c>
      <c r="Q138" s="47">
        <f t="shared" si="33"/>
        <v>7585.69871</v>
      </c>
      <c r="R138" s="45"/>
      <c r="S138" s="45"/>
      <c r="T138" s="53"/>
    </row>
    <row r="139" spans="1:20" ht="15.75" customHeight="1">
      <c r="A139" s="192"/>
      <c r="B139" s="188"/>
      <c r="C139" s="19" t="s">
        <v>56</v>
      </c>
      <c r="D139" s="42"/>
      <c r="E139" s="42"/>
      <c r="F139" s="42"/>
      <c r="G139" s="40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53"/>
    </row>
    <row r="140" spans="1:20" ht="45.75" customHeight="1">
      <c r="A140" s="192"/>
      <c r="B140" s="188"/>
      <c r="C140" s="19" t="s">
        <v>197</v>
      </c>
      <c r="D140" s="42" t="s">
        <v>271</v>
      </c>
      <c r="E140" s="42" t="s">
        <v>272</v>
      </c>
      <c r="F140" s="42" t="s">
        <v>273</v>
      </c>
      <c r="G140" s="40">
        <v>110</v>
      </c>
      <c r="H140" s="45">
        <f>2156637/1000</f>
        <v>2156.637</v>
      </c>
      <c r="I140" s="45">
        <f>2156637/1000</f>
        <v>2156.637</v>
      </c>
      <c r="J140" s="45">
        <v>0</v>
      </c>
      <c r="K140" s="45">
        <v>0</v>
      </c>
      <c r="L140" s="45">
        <f>(379557.28+297016.96-0.23)/1000</f>
        <v>676.57401</v>
      </c>
      <c r="M140" s="45">
        <f>L140</f>
        <v>676.57401</v>
      </c>
      <c r="N140" s="45">
        <f>(348671.4+722139.44+586526.93+566824.23)/1000</f>
        <v>2224.162</v>
      </c>
      <c r="O140" s="45">
        <f>N140</f>
        <v>2224.162</v>
      </c>
      <c r="P140" s="45">
        <f>N140+L140+J140</f>
        <v>2900.7360099999996</v>
      </c>
      <c r="Q140" s="45">
        <f>P140</f>
        <v>2900.7360099999996</v>
      </c>
      <c r="R140" s="45"/>
      <c r="S140" s="45"/>
      <c r="T140" s="53"/>
    </row>
    <row r="141" spans="1:20" ht="66.75" customHeight="1">
      <c r="A141" s="192"/>
      <c r="B141" s="188"/>
      <c r="C141" s="19" t="s">
        <v>197</v>
      </c>
      <c r="D141" s="42" t="s">
        <v>271</v>
      </c>
      <c r="E141" s="42" t="s">
        <v>272</v>
      </c>
      <c r="F141" s="42" t="s">
        <v>273</v>
      </c>
      <c r="G141" s="34">
        <v>240</v>
      </c>
      <c r="H141" s="45">
        <f>3852360/1000</f>
        <v>3852.36</v>
      </c>
      <c r="I141" s="45">
        <f>838077.3/1000</f>
        <v>838.0773</v>
      </c>
      <c r="J141" s="45">
        <f>4684962.7/1000</f>
        <v>4684.9627</v>
      </c>
      <c r="K141" s="45">
        <f>J141</f>
        <v>4684.9627</v>
      </c>
      <c r="L141" s="45">
        <f>J141</f>
        <v>4684.9627</v>
      </c>
      <c r="M141" s="45">
        <f>K141</f>
        <v>4684.9627</v>
      </c>
      <c r="N141" s="45">
        <f>L141</f>
        <v>4684.9627</v>
      </c>
      <c r="O141" s="45">
        <f>N141</f>
        <v>4684.9627</v>
      </c>
      <c r="P141" s="45">
        <f>N141</f>
        <v>4684.9627</v>
      </c>
      <c r="Q141" s="45">
        <f>P141</f>
        <v>4684.9627</v>
      </c>
      <c r="R141" s="45"/>
      <c r="S141" s="45"/>
      <c r="T141" s="53"/>
    </row>
    <row r="142" spans="1:20" ht="64.5" customHeight="1">
      <c r="A142" s="161" t="s">
        <v>732</v>
      </c>
      <c r="B142" s="147" t="s">
        <v>689</v>
      </c>
      <c r="C142" s="19" t="s">
        <v>602</v>
      </c>
      <c r="D142" s="42" t="s">
        <v>271</v>
      </c>
      <c r="E142" s="42" t="s">
        <v>272</v>
      </c>
      <c r="F142" s="42" t="s">
        <v>273</v>
      </c>
      <c r="G142" s="34"/>
      <c r="H142" s="47">
        <f>H145+H144</f>
        <v>0</v>
      </c>
      <c r="I142" s="47">
        <f>I145+I144</f>
        <v>0</v>
      </c>
      <c r="J142" s="47">
        <v>0</v>
      </c>
      <c r="K142" s="47">
        <v>0</v>
      </c>
      <c r="L142" s="47">
        <f>L144+L145</f>
        <v>0</v>
      </c>
      <c r="M142" s="47">
        <f>M144+M145</f>
        <v>0</v>
      </c>
      <c r="N142" s="47">
        <f>N144+N145</f>
        <v>5401.76</v>
      </c>
      <c r="O142" s="47">
        <f>N142</f>
        <v>5401.76</v>
      </c>
      <c r="P142" s="47">
        <f>P144+P145</f>
        <v>5401.76</v>
      </c>
      <c r="Q142" s="47">
        <f>Q144+Q145</f>
        <v>5401.76</v>
      </c>
      <c r="R142" s="47">
        <f>R144+R145</f>
        <v>8183.51616</v>
      </c>
      <c r="S142" s="100">
        <v>6795.67</v>
      </c>
      <c r="T142" s="40"/>
    </row>
    <row r="143" spans="1:20" ht="15.75">
      <c r="A143" s="192"/>
      <c r="B143" s="188"/>
      <c r="C143" s="19" t="s">
        <v>56</v>
      </c>
      <c r="D143" s="42"/>
      <c r="E143" s="42"/>
      <c r="F143" s="42"/>
      <c r="G143" s="40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53"/>
    </row>
    <row r="144" spans="1:20" ht="34.5" customHeight="1">
      <c r="A144" s="192"/>
      <c r="B144" s="188"/>
      <c r="C144" s="19" t="s">
        <v>197</v>
      </c>
      <c r="D144" s="42" t="s">
        <v>271</v>
      </c>
      <c r="E144" s="42" t="s">
        <v>272</v>
      </c>
      <c r="F144" s="42" t="s">
        <v>273</v>
      </c>
      <c r="G144" s="40">
        <v>110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f>L144</f>
        <v>0</v>
      </c>
      <c r="N144" s="45">
        <v>0</v>
      </c>
      <c r="O144" s="45">
        <f>N144</f>
        <v>0</v>
      </c>
      <c r="P144" s="45">
        <f>N144+L144+J144</f>
        <v>0</v>
      </c>
      <c r="Q144" s="45">
        <f>P144</f>
        <v>0</v>
      </c>
      <c r="R144" s="45">
        <f>1393905.16/1000</f>
        <v>1393.90516</v>
      </c>
      <c r="S144" s="45"/>
      <c r="T144" s="53"/>
    </row>
    <row r="145" spans="1:20" ht="32.25" customHeight="1">
      <c r="A145" s="192"/>
      <c r="B145" s="188"/>
      <c r="C145" s="19" t="s">
        <v>197</v>
      </c>
      <c r="D145" s="42" t="s">
        <v>271</v>
      </c>
      <c r="E145" s="42" t="s">
        <v>272</v>
      </c>
      <c r="F145" s="42" t="s">
        <v>273</v>
      </c>
      <c r="G145" s="34">
        <v>240</v>
      </c>
      <c r="H145" s="45">
        <v>0</v>
      </c>
      <c r="I145" s="45">
        <v>0</v>
      </c>
      <c r="J145" s="45">
        <v>0</v>
      </c>
      <c r="K145" s="45">
        <f>J145</f>
        <v>0</v>
      </c>
      <c r="L145" s="45">
        <f>J145</f>
        <v>0</v>
      </c>
      <c r="M145" s="45">
        <f>K145</f>
        <v>0</v>
      </c>
      <c r="N145" s="45">
        <f>J145+5401760/1000</f>
        <v>5401.76</v>
      </c>
      <c r="O145" s="45">
        <f>N145</f>
        <v>5401.76</v>
      </c>
      <c r="P145" s="45">
        <f>N145</f>
        <v>5401.76</v>
      </c>
      <c r="Q145" s="45">
        <f>P145</f>
        <v>5401.76</v>
      </c>
      <c r="R145" s="45">
        <f>6789611/1000</f>
        <v>6789.611</v>
      </c>
      <c r="S145" s="45"/>
      <c r="T145" s="53"/>
    </row>
    <row r="146" spans="1:22" ht="26.25" customHeight="1">
      <c r="A146" s="161" t="s">
        <v>733</v>
      </c>
      <c r="B146" s="147" t="s">
        <v>672</v>
      </c>
      <c r="C146" s="19" t="s">
        <v>302</v>
      </c>
      <c r="D146" s="42" t="s">
        <v>271</v>
      </c>
      <c r="E146" s="42"/>
      <c r="F146" s="42"/>
      <c r="G146" s="42"/>
      <c r="H146" s="47">
        <f>H148+H149+H147</f>
        <v>66945.97362</v>
      </c>
      <c r="I146" s="47">
        <f>I148+I149</f>
        <v>66943.96815</v>
      </c>
      <c r="J146" s="47">
        <f>J150+J175</f>
        <v>4495.4532</v>
      </c>
      <c r="K146" s="47">
        <f>K150+K175</f>
        <v>4495.4532</v>
      </c>
      <c r="L146" s="47">
        <f>L150+L175+L201+L187</f>
        <v>5385.886</v>
      </c>
      <c r="M146" s="47">
        <f>M150+M175+M201</f>
        <v>5385.886</v>
      </c>
      <c r="N146" s="47">
        <f>N148</f>
        <v>8049.55719</v>
      </c>
      <c r="O146" s="47">
        <f>O150+O175+O201</f>
        <v>8074.55719</v>
      </c>
      <c r="P146" s="47">
        <f>P148+P149+P147</f>
        <v>40759.54523</v>
      </c>
      <c r="Q146" s="47">
        <f>Q148+Q149+Q147</f>
        <v>40672.39793</v>
      </c>
      <c r="R146" s="47">
        <f>R148+R149</f>
        <v>13078.396859999999</v>
      </c>
      <c r="S146" s="45"/>
      <c r="T146" s="45"/>
      <c r="U146" s="61"/>
      <c r="V146" s="61"/>
    </row>
    <row r="147" spans="1:20" ht="15.75">
      <c r="A147" s="161"/>
      <c r="B147" s="147"/>
      <c r="C147" s="19" t="s">
        <v>56</v>
      </c>
      <c r="D147" s="42" t="s">
        <v>271</v>
      </c>
      <c r="E147" s="42"/>
      <c r="F147" s="42"/>
      <c r="G147" s="42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</row>
    <row r="148" spans="1:22" ht="25.5">
      <c r="A148" s="161"/>
      <c r="B148" s="147"/>
      <c r="C148" s="19" t="s">
        <v>197</v>
      </c>
      <c r="D148" s="42" t="s">
        <v>271</v>
      </c>
      <c r="E148" s="42"/>
      <c r="F148" s="42" t="s">
        <v>304</v>
      </c>
      <c r="G148" s="42" t="s">
        <v>305</v>
      </c>
      <c r="H148" s="45">
        <f>H152+H177+H189</f>
        <v>15311.573620000001</v>
      </c>
      <c r="I148" s="45">
        <f>I152+I177+I203+I189</f>
        <v>15309.568150000001</v>
      </c>
      <c r="J148" s="45">
        <f>J152+J177</f>
        <v>4495.4532</v>
      </c>
      <c r="K148" s="45">
        <f>K152+K177</f>
        <v>4495.4532</v>
      </c>
      <c r="L148" s="45">
        <f>L152+L177+L190+L203</f>
        <v>5385.886</v>
      </c>
      <c r="M148" s="45">
        <f>M152+M177</f>
        <v>5385.886</v>
      </c>
      <c r="N148" s="45">
        <f>N152+N177+N203+N190</f>
        <v>8049.55719</v>
      </c>
      <c r="O148" s="45">
        <f>O152+O177+O203</f>
        <v>8074.55719</v>
      </c>
      <c r="P148" s="45">
        <f>P152+P177+P189</f>
        <v>18864.98523</v>
      </c>
      <c r="Q148" s="45">
        <f>Q152+Q177+Q189</f>
        <v>18864.98523</v>
      </c>
      <c r="R148" s="45">
        <f>R152+R177+R203+R196+R199</f>
        <v>13078.396859999999</v>
      </c>
      <c r="S148" s="45"/>
      <c r="T148" s="45"/>
      <c r="U148" s="61"/>
      <c r="V148" s="61"/>
    </row>
    <row r="149" spans="1:20" ht="25.5">
      <c r="A149" s="161"/>
      <c r="B149" s="147"/>
      <c r="C149" s="19" t="s">
        <v>603</v>
      </c>
      <c r="D149" s="42" t="s">
        <v>604</v>
      </c>
      <c r="E149" s="42" t="s">
        <v>308</v>
      </c>
      <c r="F149" s="42" t="s">
        <v>304</v>
      </c>
      <c r="G149" s="42" t="s">
        <v>305</v>
      </c>
      <c r="H149" s="45">
        <f>H190</f>
        <v>51634.4</v>
      </c>
      <c r="I149" s="45">
        <f>I190</f>
        <v>51634.4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f>P190</f>
        <v>21894.56</v>
      </c>
      <c r="Q149" s="45">
        <f>Q190</f>
        <v>21807.4127</v>
      </c>
      <c r="R149" s="45">
        <f>R190</f>
        <v>0</v>
      </c>
      <c r="S149" s="45"/>
      <c r="T149" s="45"/>
    </row>
    <row r="150" spans="1:20" s="57" customFormat="1" ht="25.5">
      <c r="A150" s="161" t="s">
        <v>31</v>
      </c>
      <c r="B150" s="147" t="s">
        <v>673</v>
      </c>
      <c r="C150" s="26" t="s">
        <v>28</v>
      </c>
      <c r="D150" s="46" t="s">
        <v>271</v>
      </c>
      <c r="E150" s="46" t="s">
        <v>303</v>
      </c>
      <c r="F150" s="46"/>
      <c r="G150" s="46"/>
      <c r="H150" s="47">
        <f>H152</f>
        <v>13272.3298</v>
      </c>
      <c r="I150" s="47">
        <f>I152</f>
        <v>13270.324330000001</v>
      </c>
      <c r="J150" s="47">
        <f aca="true" t="shared" si="34" ref="J150:O150">J152</f>
        <v>4495.4532</v>
      </c>
      <c r="K150" s="47">
        <f>K152</f>
        <v>4495.4532</v>
      </c>
      <c r="L150" s="47">
        <f t="shared" si="34"/>
        <v>4927.216</v>
      </c>
      <c r="M150" s="47">
        <f t="shared" si="34"/>
        <v>4927.216</v>
      </c>
      <c r="N150" s="47">
        <f>N152</f>
        <v>7182.21719</v>
      </c>
      <c r="O150" s="47">
        <f t="shared" si="34"/>
        <v>7182.21719</v>
      </c>
      <c r="P150" s="47">
        <f>P152</f>
        <v>16902.34523</v>
      </c>
      <c r="Q150" s="47">
        <f>Q152</f>
        <v>16902.34523</v>
      </c>
      <c r="R150" s="47">
        <v>12287800</v>
      </c>
      <c r="S150" s="47"/>
      <c r="T150" s="47"/>
    </row>
    <row r="151" spans="1:20" s="57" customFormat="1" ht="15.75">
      <c r="A151" s="161"/>
      <c r="B151" s="147"/>
      <c r="C151" s="26" t="s">
        <v>56</v>
      </c>
      <c r="D151" s="46"/>
      <c r="E151" s="46"/>
      <c r="F151" s="46"/>
      <c r="G151" s="46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2" s="57" customFormat="1" ht="25.5">
      <c r="A152" s="161"/>
      <c r="B152" s="147"/>
      <c r="C152" s="26" t="s">
        <v>197</v>
      </c>
      <c r="D152" s="46" t="s">
        <v>271</v>
      </c>
      <c r="E152" s="46" t="s">
        <v>303</v>
      </c>
      <c r="F152" s="46"/>
      <c r="G152" s="46" t="s">
        <v>305</v>
      </c>
      <c r="H152" s="45">
        <f>H153+H154+H170+H171+H172+H173</f>
        <v>13272.3298</v>
      </c>
      <c r="I152" s="45">
        <f>I153+I154+I170+I171+I172+I173</f>
        <v>13270.324330000001</v>
      </c>
      <c r="J152" s="45">
        <f>J153</f>
        <v>4495.4532</v>
      </c>
      <c r="K152" s="45">
        <f>K153</f>
        <v>4495.4532</v>
      </c>
      <c r="L152" s="45">
        <f>L153+L154</f>
        <v>4927.216</v>
      </c>
      <c r="M152" s="45">
        <f>M153+M154</f>
        <v>4927.216</v>
      </c>
      <c r="N152" s="45">
        <f>N153+N154+N170+N171+N172+N173</f>
        <v>7182.21719</v>
      </c>
      <c r="O152" s="45">
        <f>O153+O154+O170+O171+O172+O173</f>
        <v>7182.21719</v>
      </c>
      <c r="P152" s="45">
        <f>P153+P154+P170+P171+P172+P173+P174</f>
        <v>16902.34523</v>
      </c>
      <c r="Q152" s="45">
        <f>Q153+Q154+Q170+Q171+Q172+Q173+Q174</f>
        <v>16902.34523</v>
      </c>
      <c r="R152" s="45">
        <f>R153+R154+R174</f>
        <v>12287.80403</v>
      </c>
      <c r="S152" s="47"/>
      <c r="T152" s="47"/>
      <c r="U152" s="60"/>
      <c r="V152" s="60"/>
    </row>
    <row r="153" spans="1:23" ht="60.75" customHeight="1">
      <c r="A153" s="41" t="s">
        <v>172</v>
      </c>
      <c r="B153" s="69" t="s">
        <v>310</v>
      </c>
      <c r="C153" s="19" t="s">
        <v>197</v>
      </c>
      <c r="D153" s="42">
        <v>501</v>
      </c>
      <c r="E153" s="42" t="s">
        <v>303</v>
      </c>
      <c r="F153" s="42" t="s">
        <v>311</v>
      </c>
      <c r="G153" s="42" t="s">
        <v>315</v>
      </c>
      <c r="H153" s="45">
        <f>9990649.93/1000</f>
        <v>9990.64993</v>
      </c>
      <c r="I153" s="45">
        <f>9989757.16/1000</f>
        <v>9989.757160000001</v>
      </c>
      <c r="J153" s="45">
        <f>4495453.2/1000</f>
        <v>4495.4532</v>
      </c>
      <c r="K153" s="45">
        <f>J153</f>
        <v>4495.4532</v>
      </c>
      <c r="L153" s="45">
        <f>4927216/1000</f>
        <v>4927.216</v>
      </c>
      <c r="M153" s="45">
        <f>L153</f>
        <v>4927.216</v>
      </c>
      <c r="N153" s="45">
        <f>(4927216+680031.65)/1000</f>
        <v>5607.24765</v>
      </c>
      <c r="O153" s="45">
        <f>N153</f>
        <v>5607.24765</v>
      </c>
      <c r="P153" s="45">
        <f>10701370.7/1000</f>
        <v>10701.3707</v>
      </c>
      <c r="Q153" s="45">
        <f>P153</f>
        <v>10701.3707</v>
      </c>
      <c r="R153" s="45">
        <f>10712830/1000</f>
        <v>10712.83</v>
      </c>
      <c r="S153" s="45"/>
      <c r="T153" s="53"/>
      <c r="V153" s="61"/>
      <c r="W153" s="61"/>
    </row>
    <row r="154" spans="1:22" ht="45" customHeight="1">
      <c r="A154" s="41" t="s">
        <v>313</v>
      </c>
      <c r="B154" s="69" t="s">
        <v>314</v>
      </c>
      <c r="C154" s="19" t="s">
        <v>197</v>
      </c>
      <c r="D154" s="42" t="s">
        <v>271</v>
      </c>
      <c r="E154" s="42" t="s">
        <v>303</v>
      </c>
      <c r="F154" s="42" t="s">
        <v>309</v>
      </c>
      <c r="G154" s="42" t="s">
        <v>315</v>
      </c>
      <c r="H154" s="45">
        <f>H155+H156+H157+H158+H159+H160+H165+H166+H170+H171+H167+H168+H161+H162+H163</f>
        <v>2559.8388699999996</v>
      </c>
      <c r="I154" s="45">
        <f>I155+I156+I157+I158+I159+I160+I165+I166+I170+I171+I167+I168+I161+I162+I163</f>
        <v>2558.72617</v>
      </c>
      <c r="J154" s="45">
        <v>0</v>
      </c>
      <c r="K154" s="45">
        <v>0</v>
      </c>
      <c r="L154" s="45">
        <v>0</v>
      </c>
      <c r="M154" s="45">
        <v>0</v>
      </c>
      <c r="N154" s="45">
        <f>N155+N156+N157+N158+N159+N166+N165+N160+N161+N162+N163</f>
        <v>1574.96954</v>
      </c>
      <c r="O154" s="45">
        <f>O155+O156+O157+O158+O159+O166+O165+O160+O161+O162+O163+O164</f>
        <v>1574.96954</v>
      </c>
      <c r="P154" s="45">
        <f>P155+P156+P157+P158+P159+P160+P165+P166+P170+P171+P167+P168+P161+P162+P163+P164+P169</f>
        <v>1725.9745299999997</v>
      </c>
      <c r="Q154" s="45">
        <f>Q155+Q156+Q157+Q158+Q159+Q160+Q165+Q166+Q170+Q171+Q167+Q168+Q161+Q162+Q163+Q164+Q169</f>
        <v>1725.9745299999997</v>
      </c>
      <c r="R154" s="45">
        <f>R155+R156+R157+R158+R159+R160+R165+R166</f>
        <v>1574.97403</v>
      </c>
      <c r="S154" s="45"/>
      <c r="T154" s="45"/>
      <c r="U154" s="61"/>
      <c r="V154" s="61"/>
    </row>
    <row r="155" spans="1:20" ht="84" customHeight="1">
      <c r="A155" s="41" t="s">
        <v>316</v>
      </c>
      <c r="B155" s="69" t="s">
        <v>317</v>
      </c>
      <c r="C155" s="19" t="s">
        <v>197</v>
      </c>
      <c r="D155" s="42" t="s">
        <v>271</v>
      </c>
      <c r="E155" s="42" t="s">
        <v>303</v>
      </c>
      <c r="F155" s="42" t="s">
        <v>309</v>
      </c>
      <c r="G155" s="42" t="s">
        <v>315</v>
      </c>
      <c r="H155" s="45">
        <f>522080/1000</f>
        <v>522.08</v>
      </c>
      <c r="I155" s="45">
        <f>522080/1000</f>
        <v>522.08</v>
      </c>
      <c r="J155" s="45">
        <v>0</v>
      </c>
      <c r="K155" s="45">
        <v>0</v>
      </c>
      <c r="L155" s="45">
        <v>0</v>
      </c>
      <c r="M155" s="45">
        <v>0</v>
      </c>
      <c r="N155" s="45">
        <f>522080/1000</f>
        <v>522.08</v>
      </c>
      <c r="O155" s="45">
        <f>522080/1000</f>
        <v>522.08</v>
      </c>
      <c r="P155" s="45">
        <f>522080/1000</f>
        <v>522.08</v>
      </c>
      <c r="Q155" s="45">
        <f>522080/1000</f>
        <v>522.08</v>
      </c>
      <c r="R155" s="45">
        <f>522080/1000</f>
        <v>522.08</v>
      </c>
      <c r="S155" s="45"/>
      <c r="T155" s="53"/>
    </row>
    <row r="156" spans="1:22" ht="25.5">
      <c r="A156" s="41" t="s">
        <v>318</v>
      </c>
      <c r="B156" s="69" t="s">
        <v>319</v>
      </c>
      <c r="C156" s="19" t="s">
        <v>197</v>
      </c>
      <c r="D156" s="42" t="s">
        <v>271</v>
      </c>
      <c r="E156" s="42" t="s">
        <v>303</v>
      </c>
      <c r="F156" s="42" t="s">
        <v>309</v>
      </c>
      <c r="G156" s="42" t="s">
        <v>315</v>
      </c>
      <c r="H156" s="45">
        <f>81789.24/1000</f>
        <v>81.78924</v>
      </c>
      <c r="I156" s="45">
        <f>80676.54/1000</f>
        <v>80.67653999999999</v>
      </c>
      <c r="J156" s="45">
        <v>0</v>
      </c>
      <c r="K156" s="45">
        <v>0</v>
      </c>
      <c r="L156" s="45">
        <v>0</v>
      </c>
      <c r="M156" s="45">
        <v>0</v>
      </c>
      <c r="N156" s="45">
        <f>80000/1000</f>
        <v>80</v>
      </c>
      <c r="O156" s="45">
        <f>N156</f>
        <v>80</v>
      </c>
      <c r="P156" s="45">
        <f>N156</f>
        <v>80</v>
      </c>
      <c r="Q156" s="45">
        <f>O156</f>
        <v>80</v>
      </c>
      <c r="R156" s="45">
        <f>81706/1000</f>
        <v>81.706</v>
      </c>
      <c r="S156" s="45"/>
      <c r="T156" s="53"/>
      <c r="V156" s="61"/>
    </row>
    <row r="157" spans="1:20" ht="30">
      <c r="A157" s="41" t="s">
        <v>320</v>
      </c>
      <c r="B157" s="69" t="s">
        <v>321</v>
      </c>
      <c r="C157" s="19" t="s">
        <v>197</v>
      </c>
      <c r="D157" s="42" t="s">
        <v>271</v>
      </c>
      <c r="E157" s="42" t="s">
        <v>303</v>
      </c>
      <c r="F157" s="42" t="s">
        <v>309</v>
      </c>
      <c r="G157" s="42" t="s">
        <v>315</v>
      </c>
      <c r="H157" s="45">
        <f>173824.03/1000</f>
        <v>173.82403</v>
      </c>
      <c r="I157" s="45">
        <f>173824.03/1000</f>
        <v>173.82403</v>
      </c>
      <c r="J157" s="45">
        <v>0</v>
      </c>
      <c r="K157" s="45">
        <v>0</v>
      </c>
      <c r="L157" s="45">
        <v>0</v>
      </c>
      <c r="M157" s="45">
        <v>0</v>
      </c>
      <c r="N157" s="45">
        <f>173824.03/1000</f>
        <v>173.82403</v>
      </c>
      <c r="O157" s="45">
        <f>173824.03/1000</f>
        <v>173.82403</v>
      </c>
      <c r="P157" s="45">
        <f>173824.03/1000</f>
        <v>173.82403</v>
      </c>
      <c r="Q157" s="45">
        <f>173824.03/1000</f>
        <v>173.82403</v>
      </c>
      <c r="R157" s="45">
        <f>173824.03/1000</f>
        <v>173.82403</v>
      </c>
      <c r="S157" s="45"/>
      <c r="T157" s="53"/>
    </row>
    <row r="158" spans="1:20" ht="33" customHeight="1">
      <c r="A158" s="41" t="s">
        <v>322</v>
      </c>
      <c r="B158" s="69" t="s">
        <v>323</v>
      </c>
      <c r="C158" s="19" t="s">
        <v>197</v>
      </c>
      <c r="D158" s="42" t="s">
        <v>271</v>
      </c>
      <c r="E158" s="42" t="s">
        <v>303</v>
      </c>
      <c r="F158" s="42" t="s">
        <v>309</v>
      </c>
      <c r="G158" s="42" t="s">
        <v>315</v>
      </c>
      <c r="H158" s="45">
        <f>42919.8/1000</f>
        <v>42.9198</v>
      </c>
      <c r="I158" s="45">
        <f>42919.8/1000</f>
        <v>42.9198</v>
      </c>
      <c r="J158" s="45">
        <v>0</v>
      </c>
      <c r="K158" s="45">
        <v>0</v>
      </c>
      <c r="L158" s="45">
        <v>0</v>
      </c>
      <c r="M158" s="45">
        <v>0</v>
      </c>
      <c r="N158" s="45">
        <f>44708.58/1000</f>
        <v>44.708580000000005</v>
      </c>
      <c r="O158" s="45">
        <f>N158</f>
        <v>44.708580000000005</v>
      </c>
      <c r="P158" s="45">
        <f>N158</f>
        <v>44.708580000000005</v>
      </c>
      <c r="Q158" s="45">
        <f>O158</f>
        <v>44.708580000000005</v>
      </c>
      <c r="R158" s="45">
        <f>42990/1000</f>
        <v>42.99</v>
      </c>
      <c r="S158" s="45"/>
      <c r="T158" s="53"/>
    </row>
    <row r="159" spans="1:20" ht="30">
      <c r="A159" s="41" t="s">
        <v>324</v>
      </c>
      <c r="B159" s="69" t="s">
        <v>325</v>
      </c>
      <c r="C159" s="19" t="s">
        <v>197</v>
      </c>
      <c r="D159" s="42" t="s">
        <v>271</v>
      </c>
      <c r="E159" s="42" t="s">
        <v>303</v>
      </c>
      <c r="F159" s="42" t="s">
        <v>309</v>
      </c>
      <c r="G159" s="42" t="s">
        <v>315</v>
      </c>
      <c r="H159" s="45">
        <f>80000/1000</f>
        <v>80</v>
      </c>
      <c r="I159" s="45">
        <f>80000/1000</f>
        <v>80</v>
      </c>
      <c r="J159" s="45">
        <v>0</v>
      </c>
      <c r="K159" s="45">
        <v>0</v>
      </c>
      <c r="L159" s="45">
        <v>0</v>
      </c>
      <c r="M159" s="45">
        <v>0</v>
      </c>
      <c r="N159" s="45">
        <f>80000/1000</f>
        <v>80</v>
      </c>
      <c r="O159" s="45">
        <f>80000/1000</f>
        <v>80</v>
      </c>
      <c r="P159" s="45">
        <f>80000/1000</f>
        <v>80</v>
      </c>
      <c r="Q159" s="45">
        <f>80000/1000</f>
        <v>80</v>
      </c>
      <c r="R159" s="45">
        <f>80000/1000</f>
        <v>80</v>
      </c>
      <c r="S159" s="45"/>
      <c r="T159" s="53"/>
    </row>
    <row r="160" spans="1:20" ht="45" customHeight="1">
      <c r="A160" s="41" t="s">
        <v>326</v>
      </c>
      <c r="B160" s="69" t="s">
        <v>327</v>
      </c>
      <c r="C160" s="19" t="s">
        <v>197</v>
      </c>
      <c r="D160" s="42" t="s">
        <v>271</v>
      </c>
      <c r="E160" s="42" t="s">
        <v>303</v>
      </c>
      <c r="F160" s="42" t="s">
        <v>309</v>
      </c>
      <c r="G160" s="42" t="s">
        <v>315</v>
      </c>
      <c r="H160" s="45">
        <f>495584/1000</f>
        <v>495.584</v>
      </c>
      <c r="I160" s="45">
        <f>495584/1000</f>
        <v>495.584</v>
      </c>
      <c r="J160" s="45">
        <v>0</v>
      </c>
      <c r="K160" s="45">
        <v>0</v>
      </c>
      <c r="L160" s="45">
        <v>0</v>
      </c>
      <c r="M160" s="45">
        <v>0</v>
      </c>
      <c r="N160" s="45">
        <f>495584/1000</f>
        <v>495.584</v>
      </c>
      <c r="O160" s="45">
        <f>495584/1000</f>
        <v>495.584</v>
      </c>
      <c r="P160" s="45">
        <f>495584/1000</f>
        <v>495.584</v>
      </c>
      <c r="Q160" s="45">
        <f>495584/1000</f>
        <v>495.584</v>
      </c>
      <c r="R160" s="45">
        <f>495584/1000</f>
        <v>495.584</v>
      </c>
      <c r="S160" s="45"/>
      <c r="T160" s="53"/>
    </row>
    <row r="161" spans="1:20" ht="57" customHeight="1">
      <c r="A161" s="41" t="s">
        <v>328</v>
      </c>
      <c r="B161" s="69" t="s">
        <v>329</v>
      </c>
      <c r="C161" s="19" t="s">
        <v>197</v>
      </c>
      <c r="D161" s="42" t="s">
        <v>271</v>
      </c>
      <c r="E161" s="42" t="s">
        <v>303</v>
      </c>
      <c r="F161" s="42" t="s">
        <v>309</v>
      </c>
      <c r="G161" s="42" t="s">
        <v>315</v>
      </c>
      <c r="H161" s="45">
        <f>591500/1000</f>
        <v>591.5</v>
      </c>
      <c r="I161" s="45">
        <f>591500/1000</f>
        <v>591.5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f>N161</f>
        <v>0</v>
      </c>
      <c r="Q161" s="45">
        <f>O161</f>
        <v>0</v>
      </c>
      <c r="R161" s="45">
        <v>0</v>
      </c>
      <c r="S161" s="45"/>
      <c r="T161" s="53"/>
    </row>
    <row r="162" spans="1:20" ht="45" customHeight="1">
      <c r="A162" s="41" t="s">
        <v>330</v>
      </c>
      <c r="B162" s="69" t="s">
        <v>331</v>
      </c>
      <c r="C162" s="19" t="s">
        <v>197</v>
      </c>
      <c r="D162" s="42" t="s">
        <v>271</v>
      </c>
      <c r="E162" s="42" t="s">
        <v>303</v>
      </c>
      <c r="F162" s="42" t="s">
        <v>309</v>
      </c>
      <c r="G162" s="42" t="s">
        <v>315</v>
      </c>
      <c r="H162" s="45">
        <f>99863.47/1000</f>
        <v>99.86347</v>
      </c>
      <c r="I162" s="45">
        <f>99863.47/1000</f>
        <v>99.86347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/>
      <c r="T162" s="53"/>
    </row>
    <row r="163" spans="1:20" ht="45" customHeight="1">
      <c r="A163" s="41" t="s">
        <v>332</v>
      </c>
      <c r="B163" s="69" t="s">
        <v>333</v>
      </c>
      <c r="C163" s="19" t="s">
        <v>197</v>
      </c>
      <c r="D163" s="42" t="s">
        <v>271</v>
      </c>
      <c r="E163" s="42" t="s">
        <v>303</v>
      </c>
      <c r="F163" s="42" t="s">
        <v>309</v>
      </c>
      <c r="G163" s="42" t="s">
        <v>315</v>
      </c>
      <c r="H163" s="45">
        <f>30816.6/1000</f>
        <v>30.816599999999998</v>
      </c>
      <c r="I163" s="45">
        <f>30816.6/1000</f>
        <v>30.816599999999998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/>
      <c r="T163" s="53"/>
    </row>
    <row r="164" spans="1:20" ht="66.75" customHeight="1">
      <c r="A164" s="41" t="s">
        <v>605</v>
      </c>
      <c r="B164" s="69" t="s">
        <v>606</v>
      </c>
      <c r="C164" s="19" t="s">
        <v>197</v>
      </c>
      <c r="D164" s="42" t="s">
        <v>271</v>
      </c>
      <c r="E164" s="42" t="s">
        <v>303</v>
      </c>
      <c r="F164" s="42" t="s">
        <v>309</v>
      </c>
      <c r="G164" s="42" t="s">
        <v>315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f>102654.99/1000</f>
        <v>102.65499000000001</v>
      </c>
      <c r="Q164" s="45">
        <f>102654.99/1000</f>
        <v>102.65499000000001</v>
      </c>
      <c r="R164" s="45">
        <v>0</v>
      </c>
      <c r="S164" s="45"/>
      <c r="T164" s="53"/>
    </row>
    <row r="165" spans="1:20" ht="30">
      <c r="A165" s="41" t="s">
        <v>334</v>
      </c>
      <c r="B165" s="69" t="s">
        <v>335</v>
      </c>
      <c r="C165" s="19" t="s">
        <v>197</v>
      </c>
      <c r="D165" s="42" t="s">
        <v>271</v>
      </c>
      <c r="E165" s="42" t="s">
        <v>303</v>
      </c>
      <c r="F165" s="42" t="s">
        <v>309</v>
      </c>
      <c r="G165" s="42" t="s">
        <v>315</v>
      </c>
      <c r="H165" s="45">
        <f>78790/1000</f>
        <v>78.79</v>
      </c>
      <c r="I165" s="45">
        <f>78790/1000</f>
        <v>78.79</v>
      </c>
      <c r="J165" s="45">
        <v>0</v>
      </c>
      <c r="K165" s="45">
        <v>0</v>
      </c>
      <c r="L165" s="45">
        <v>0</v>
      </c>
      <c r="M165" s="45">
        <v>0</v>
      </c>
      <c r="N165" s="45">
        <f>78790/1000</f>
        <v>78.79</v>
      </c>
      <c r="O165" s="45">
        <f>78790/1000</f>
        <v>78.79</v>
      </c>
      <c r="P165" s="45">
        <f>78790/1000</f>
        <v>78.79</v>
      </c>
      <c r="Q165" s="45">
        <f>78790/1000</f>
        <v>78.79</v>
      </c>
      <c r="R165" s="45">
        <f>78790/1000</f>
        <v>78.79</v>
      </c>
      <c r="S165" s="45"/>
      <c r="T165" s="53"/>
    </row>
    <row r="166" spans="1:20" ht="45">
      <c r="A166" s="41" t="s">
        <v>336</v>
      </c>
      <c r="B166" s="69" t="s">
        <v>337</v>
      </c>
      <c r="C166" s="19" t="s">
        <v>197</v>
      </c>
      <c r="D166" s="42" t="s">
        <v>271</v>
      </c>
      <c r="E166" s="42" t="s">
        <v>303</v>
      </c>
      <c r="F166" s="42" t="s">
        <v>309</v>
      </c>
      <c r="G166" s="42" t="s">
        <v>315</v>
      </c>
      <c r="H166" s="45">
        <f>99982.93/1000</f>
        <v>99.98293</v>
      </c>
      <c r="I166" s="45">
        <f>99982.93/1000</f>
        <v>99.98293</v>
      </c>
      <c r="J166" s="45">
        <v>0</v>
      </c>
      <c r="K166" s="45">
        <v>0</v>
      </c>
      <c r="L166" s="45">
        <v>0</v>
      </c>
      <c r="M166" s="45">
        <v>0</v>
      </c>
      <c r="N166" s="45">
        <f>99982.93/1000</f>
        <v>99.98293</v>
      </c>
      <c r="O166" s="45">
        <f>99982.93/1000</f>
        <v>99.98293</v>
      </c>
      <c r="P166" s="45">
        <f>99982.93/1000</f>
        <v>99.98293</v>
      </c>
      <c r="Q166" s="45">
        <f>99982.93/1000</f>
        <v>99.98293</v>
      </c>
      <c r="R166" s="45">
        <f>100000/1000</f>
        <v>100</v>
      </c>
      <c r="S166" s="45"/>
      <c r="T166" s="53"/>
    </row>
    <row r="167" spans="1:20" ht="105" hidden="1">
      <c r="A167" s="41" t="s">
        <v>336</v>
      </c>
      <c r="B167" s="69" t="s">
        <v>338</v>
      </c>
      <c r="C167" s="19" t="s">
        <v>197</v>
      </c>
      <c r="D167" s="42" t="s">
        <v>271</v>
      </c>
      <c r="E167" s="42" t="s">
        <v>303</v>
      </c>
      <c r="F167" s="42" t="s">
        <v>309</v>
      </c>
      <c r="G167" s="42" t="s">
        <v>315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/>
      <c r="T167" s="53"/>
    </row>
    <row r="168" spans="1:20" ht="37.5" customHeight="1">
      <c r="A168" s="41" t="s">
        <v>339</v>
      </c>
      <c r="B168" s="69" t="s">
        <v>340</v>
      </c>
      <c r="C168" s="19" t="s">
        <v>197</v>
      </c>
      <c r="D168" s="42" t="s">
        <v>271</v>
      </c>
      <c r="E168" s="42" t="s">
        <v>303</v>
      </c>
      <c r="F168" s="42" t="s">
        <v>309</v>
      </c>
      <c r="G168" s="42" t="s">
        <v>315</v>
      </c>
      <c r="H168" s="45">
        <f>262688.8/1000</f>
        <v>262.6888</v>
      </c>
      <c r="I168" s="45">
        <f>262688.8/1000</f>
        <v>262.6888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/>
      <c r="T168" s="53"/>
    </row>
    <row r="169" spans="1:20" ht="60">
      <c r="A169" s="41" t="s">
        <v>607</v>
      </c>
      <c r="B169" s="69" t="s">
        <v>608</v>
      </c>
      <c r="C169" s="19" t="s">
        <v>197</v>
      </c>
      <c r="D169" s="42" t="s">
        <v>271</v>
      </c>
      <c r="E169" s="42" t="s">
        <v>303</v>
      </c>
      <c r="F169" s="42" t="s">
        <v>309</v>
      </c>
      <c r="G169" s="42" t="s">
        <v>315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f>48350/1000</f>
        <v>48.35</v>
      </c>
      <c r="Q169" s="45">
        <f>48350/1000</f>
        <v>48.35</v>
      </c>
      <c r="R169" s="45">
        <v>0</v>
      </c>
      <c r="S169" s="45"/>
      <c r="T169" s="53"/>
    </row>
    <row r="170" spans="1:20" ht="30">
      <c r="A170" s="41" t="s">
        <v>341</v>
      </c>
      <c r="B170" s="69" t="s">
        <v>342</v>
      </c>
      <c r="C170" s="19" t="s">
        <v>197</v>
      </c>
      <c r="D170" s="42" t="s">
        <v>271</v>
      </c>
      <c r="E170" s="42" t="s">
        <v>303</v>
      </c>
      <c r="F170" s="42" t="s">
        <v>343</v>
      </c>
      <c r="G170" s="42" t="s">
        <v>315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/>
      <c r="T170" s="53"/>
    </row>
    <row r="171" spans="1:20" ht="45">
      <c r="A171" s="41" t="s">
        <v>344</v>
      </c>
      <c r="B171" s="69" t="s">
        <v>345</v>
      </c>
      <c r="C171" s="19" t="s">
        <v>197</v>
      </c>
      <c r="D171" s="42" t="s">
        <v>271</v>
      </c>
      <c r="E171" s="42" t="s">
        <v>303</v>
      </c>
      <c r="F171" s="42" t="s">
        <v>346</v>
      </c>
      <c r="G171" s="42" t="s">
        <v>315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/>
      <c r="T171" s="53"/>
    </row>
    <row r="172" spans="1:20" ht="96" customHeight="1">
      <c r="A172" s="159" t="s">
        <v>347</v>
      </c>
      <c r="B172" s="69" t="s">
        <v>348</v>
      </c>
      <c r="C172" s="19" t="s">
        <v>197</v>
      </c>
      <c r="D172" s="42" t="s">
        <v>271</v>
      </c>
      <c r="E172" s="42" t="s">
        <v>303</v>
      </c>
      <c r="F172" s="42" t="s">
        <v>609</v>
      </c>
      <c r="G172" s="42" t="s">
        <v>315</v>
      </c>
      <c r="H172" s="45">
        <f>650000/1000</f>
        <v>650</v>
      </c>
      <c r="I172" s="45">
        <f>650000/1000</f>
        <v>650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/>
      <c r="T172" s="53"/>
    </row>
    <row r="173" spans="1:20" ht="102.75" customHeight="1">
      <c r="A173" s="159"/>
      <c r="B173" s="69" t="s">
        <v>348</v>
      </c>
      <c r="C173" s="19" t="s">
        <v>197</v>
      </c>
      <c r="D173" s="42" t="s">
        <v>271</v>
      </c>
      <c r="E173" s="42" t="s">
        <v>303</v>
      </c>
      <c r="F173" s="42" t="s">
        <v>609</v>
      </c>
      <c r="G173" s="42" t="s">
        <v>315</v>
      </c>
      <c r="H173" s="45">
        <f>71841/1000</f>
        <v>71.841</v>
      </c>
      <c r="I173" s="45">
        <f>71841/1000</f>
        <v>71.841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/>
      <c r="T173" s="53"/>
    </row>
    <row r="174" spans="1:20" ht="66.75" customHeight="1">
      <c r="A174" s="41" t="s">
        <v>349</v>
      </c>
      <c r="B174" s="69" t="s">
        <v>350</v>
      </c>
      <c r="C174" s="19" t="s">
        <v>197</v>
      </c>
      <c r="D174" s="42" t="s">
        <v>271</v>
      </c>
      <c r="E174" s="42" t="s">
        <v>303</v>
      </c>
      <c r="F174" s="42" t="s">
        <v>343</v>
      </c>
      <c r="G174" s="42" t="s">
        <v>315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f>4475000/1000</f>
        <v>4475</v>
      </c>
      <c r="Q174" s="45">
        <f>P174</f>
        <v>4475</v>
      </c>
      <c r="R174" s="45">
        <v>0</v>
      </c>
      <c r="S174" s="45"/>
      <c r="T174" s="53"/>
    </row>
    <row r="175" spans="1:20" s="57" customFormat="1" ht="25.5">
      <c r="A175" s="161" t="s">
        <v>86</v>
      </c>
      <c r="B175" s="147" t="s">
        <v>674</v>
      </c>
      <c r="C175" s="26" t="s">
        <v>28</v>
      </c>
      <c r="D175" s="46" t="s">
        <v>271</v>
      </c>
      <c r="E175" s="46" t="s">
        <v>351</v>
      </c>
      <c r="F175" s="46" t="s">
        <v>352</v>
      </c>
      <c r="G175" s="46" t="s">
        <v>305</v>
      </c>
      <c r="H175" s="47">
        <f>H177</f>
        <v>2015.6438200000002</v>
      </c>
      <c r="I175" s="47">
        <f>I177</f>
        <v>2015.6438200000002</v>
      </c>
      <c r="J175" s="47">
        <v>0</v>
      </c>
      <c r="K175" s="47">
        <v>0</v>
      </c>
      <c r="L175" s="47">
        <f aca="true" t="shared" si="35" ref="L175:Q175">L177</f>
        <v>458.67</v>
      </c>
      <c r="M175" s="47">
        <f t="shared" si="35"/>
        <v>458.67</v>
      </c>
      <c r="N175" s="47">
        <f t="shared" si="35"/>
        <v>867.34</v>
      </c>
      <c r="O175" s="47">
        <f t="shared" si="35"/>
        <v>892.34</v>
      </c>
      <c r="P175" s="47">
        <f>P177</f>
        <v>1962.64</v>
      </c>
      <c r="Q175" s="47">
        <f t="shared" si="35"/>
        <v>1962.64</v>
      </c>
      <c r="R175" s="47">
        <f>R177</f>
        <v>790.59283</v>
      </c>
      <c r="S175" s="47"/>
      <c r="T175" s="47"/>
    </row>
    <row r="176" spans="1:20" s="57" customFormat="1" ht="15.75">
      <c r="A176" s="161"/>
      <c r="B176" s="147"/>
      <c r="C176" s="26" t="s">
        <v>56</v>
      </c>
      <c r="D176" s="46"/>
      <c r="E176" s="46"/>
      <c r="F176" s="46"/>
      <c r="G176" s="46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s="57" customFormat="1" ht="33" customHeight="1">
      <c r="A177" s="161"/>
      <c r="B177" s="147"/>
      <c r="C177" s="26" t="s">
        <v>197</v>
      </c>
      <c r="D177" s="42" t="s">
        <v>271</v>
      </c>
      <c r="E177" s="42" t="s">
        <v>351</v>
      </c>
      <c r="F177" s="42" t="s">
        <v>352</v>
      </c>
      <c r="G177" s="42" t="s">
        <v>305</v>
      </c>
      <c r="H177" s="45">
        <f>H178+H179+H180+H185+H186</f>
        <v>2015.6438200000002</v>
      </c>
      <c r="I177" s="45">
        <f>I178+I179+I180+I185+I186</f>
        <v>2015.6438200000002</v>
      </c>
      <c r="J177" s="45">
        <v>0</v>
      </c>
      <c r="K177" s="45">
        <v>0</v>
      </c>
      <c r="L177" s="45">
        <f>L179+L180+L178</f>
        <v>458.67</v>
      </c>
      <c r="M177" s="45">
        <f>M179+M180+M178</f>
        <v>458.67</v>
      </c>
      <c r="N177" s="45">
        <f>N179+N180+N178</f>
        <v>867.34</v>
      </c>
      <c r="O177" s="45">
        <f>O178+O179+O180</f>
        <v>892.34</v>
      </c>
      <c r="P177" s="45">
        <f>P178+P179+P180+P185+P186</f>
        <v>1962.64</v>
      </c>
      <c r="Q177" s="45">
        <f>Q178+Q179+Q180+Q185+Q186</f>
        <v>1962.64</v>
      </c>
      <c r="R177" s="45">
        <f>R178+R179+R180+R185</f>
        <v>790.59283</v>
      </c>
      <c r="S177" s="47"/>
      <c r="T177" s="47"/>
    </row>
    <row r="178" spans="1:20" ht="69" customHeight="1">
      <c r="A178" s="41" t="s">
        <v>172</v>
      </c>
      <c r="B178" s="69" t="s">
        <v>353</v>
      </c>
      <c r="C178" s="19" t="s">
        <v>197</v>
      </c>
      <c r="D178" s="42" t="s">
        <v>271</v>
      </c>
      <c r="E178" s="42" t="s">
        <v>351</v>
      </c>
      <c r="F178" s="42" t="s">
        <v>610</v>
      </c>
      <c r="G178" s="42" t="s">
        <v>315</v>
      </c>
      <c r="H178" s="45">
        <f>388700/1000</f>
        <v>388.7</v>
      </c>
      <c r="I178" s="45">
        <f>388700/1000</f>
        <v>388.7</v>
      </c>
      <c r="J178" s="45">
        <v>0</v>
      </c>
      <c r="K178" s="45">
        <v>0</v>
      </c>
      <c r="L178" s="45">
        <v>0</v>
      </c>
      <c r="M178" s="45">
        <v>0</v>
      </c>
      <c r="N178" s="45">
        <f>433670/1000</f>
        <v>433.67</v>
      </c>
      <c r="O178" s="45">
        <f>N178</f>
        <v>433.67</v>
      </c>
      <c r="P178" s="45">
        <f>N178</f>
        <v>433.67</v>
      </c>
      <c r="Q178" s="45">
        <f>O178</f>
        <v>433.67</v>
      </c>
      <c r="R178" s="45">
        <f>493900/1000</f>
        <v>493.9</v>
      </c>
      <c r="S178" s="45"/>
      <c r="T178" s="53"/>
    </row>
    <row r="179" spans="1:20" ht="55.5" customHeight="1">
      <c r="A179" s="159" t="s">
        <v>313</v>
      </c>
      <c r="B179" s="69" t="s">
        <v>354</v>
      </c>
      <c r="C179" s="19" t="s">
        <v>197</v>
      </c>
      <c r="D179" s="42" t="s">
        <v>271</v>
      </c>
      <c r="E179" s="42" t="s">
        <v>351</v>
      </c>
      <c r="F179" s="42" t="s">
        <v>611</v>
      </c>
      <c r="G179" s="42" t="s">
        <v>315</v>
      </c>
      <c r="H179" s="45">
        <f>1408791.86/1000</f>
        <v>1408.79186</v>
      </c>
      <c r="I179" s="45">
        <f>H179</f>
        <v>1408.79186</v>
      </c>
      <c r="J179" s="45">
        <f>433670/1000</f>
        <v>433.67</v>
      </c>
      <c r="K179" s="45">
        <f>J179</f>
        <v>433.67</v>
      </c>
      <c r="L179" s="45">
        <f>J179</f>
        <v>433.67</v>
      </c>
      <c r="M179" s="45">
        <f>K179</f>
        <v>433.67</v>
      </c>
      <c r="N179" s="45">
        <f>L179</f>
        <v>433.67</v>
      </c>
      <c r="O179" s="45">
        <f>M179</f>
        <v>433.67</v>
      </c>
      <c r="P179" s="45">
        <v>1503.97</v>
      </c>
      <c r="Q179" s="45">
        <f>P179</f>
        <v>1503.97</v>
      </c>
      <c r="R179" s="45">
        <v>0</v>
      </c>
      <c r="S179" s="45"/>
      <c r="T179" s="53"/>
    </row>
    <row r="180" spans="1:20" ht="60">
      <c r="A180" s="159"/>
      <c r="B180" s="69" t="s">
        <v>356</v>
      </c>
      <c r="C180" s="19" t="s">
        <v>197</v>
      </c>
      <c r="D180" s="42" t="s">
        <v>271</v>
      </c>
      <c r="E180" s="42" t="s">
        <v>351</v>
      </c>
      <c r="F180" s="42" t="s">
        <v>611</v>
      </c>
      <c r="G180" s="42" t="s">
        <v>315</v>
      </c>
      <c r="H180" s="45">
        <f>25000/1000</f>
        <v>25</v>
      </c>
      <c r="I180" s="45">
        <f>25000/1000</f>
        <v>25</v>
      </c>
      <c r="J180" s="45">
        <v>0</v>
      </c>
      <c r="K180" s="45">
        <v>0</v>
      </c>
      <c r="L180" s="45">
        <f>25000/1000</f>
        <v>25</v>
      </c>
      <c r="M180" s="45">
        <f>25000/1000</f>
        <v>25</v>
      </c>
      <c r="N180" s="45">
        <v>0</v>
      </c>
      <c r="O180" s="45">
        <f>25000/1000</f>
        <v>25</v>
      </c>
      <c r="P180" s="45">
        <f>25000/1000</f>
        <v>25</v>
      </c>
      <c r="Q180" s="45">
        <f>25000/1000</f>
        <v>25</v>
      </c>
      <c r="R180" s="45">
        <f>25000/1000</f>
        <v>25</v>
      </c>
      <c r="S180" s="45"/>
      <c r="T180" s="45"/>
    </row>
    <row r="181" spans="1:22" ht="101.25" customHeight="1" hidden="1">
      <c r="A181" s="159" t="s">
        <v>316</v>
      </c>
      <c r="B181" s="69" t="s">
        <v>358</v>
      </c>
      <c r="C181" s="19" t="s">
        <v>197</v>
      </c>
      <c r="D181" s="42" t="s">
        <v>271</v>
      </c>
      <c r="E181" s="42" t="s">
        <v>351</v>
      </c>
      <c r="F181" s="42" t="s">
        <v>355</v>
      </c>
      <c r="G181" s="42" t="s">
        <v>315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/>
      <c r="T181" s="45"/>
      <c r="V181" s="61"/>
    </row>
    <row r="182" spans="1:20" ht="105" hidden="1">
      <c r="A182" s="159"/>
      <c r="B182" s="69" t="s">
        <v>359</v>
      </c>
      <c r="C182" s="19" t="s">
        <v>197</v>
      </c>
      <c r="D182" s="42"/>
      <c r="E182" s="42"/>
      <c r="F182" s="42"/>
      <c r="G182" s="42"/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/>
      <c r="T182" s="45"/>
    </row>
    <row r="183" spans="1:20" ht="120" hidden="1">
      <c r="A183" s="159" t="s">
        <v>318</v>
      </c>
      <c r="B183" s="69" t="s">
        <v>360</v>
      </c>
      <c r="C183" s="19" t="s">
        <v>197</v>
      </c>
      <c r="D183" s="42" t="s">
        <v>271</v>
      </c>
      <c r="E183" s="42" t="s">
        <v>351</v>
      </c>
      <c r="F183" s="42" t="s">
        <v>355</v>
      </c>
      <c r="G183" s="42" t="s">
        <v>315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/>
      <c r="T183" s="45"/>
    </row>
    <row r="184" spans="1:20" ht="135" hidden="1">
      <c r="A184" s="159"/>
      <c r="B184" s="69" t="s">
        <v>361</v>
      </c>
      <c r="C184" s="19" t="s">
        <v>197</v>
      </c>
      <c r="D184" s="42" t="s">
        <v>271</v>
      </c>
      <c r="E184" s="42" t="s">
        <v>351</v>
      </c>
      <c r="F184" s="42" t="s">
        <v>357</v>
      </c>
      <c r="G184" s="42" t="s">
        <v>315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/>
      <c r="T184" s="45"/>
    </row>
    <row r="185" spans="1:20" ht="60.75" customHeight="1">
      <c r="A185" s="41" t="s">
        <v>341</v>
      </c>
      <c r="B185" s="69" t="s">
        <v>362</v>
      </c>
      <c r="C185" s="19" t="s">
        <v>197</v>
      </c>
      <c r="D185" s="42" t="s">
        <v>271</v>
      </c>
      <c r="E185" s="42" t="s">
        <v>351</v>
      </c>
      <c r="F185" s="42" t="s">
        <v>363</v>
      </c>
      <c r="G185" s="42" t="s">
        <v>315</v>
      </c>
      <c r="H185" s="45">
        <f>94855.98/1000</f>
        <v>94.85598</v>
      </c>
      <c r="I185" s="45">
        <f>94855.98/1000</f>
        <v>94.85598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f>271692.83/1000</f>
        <v>271.69283</v>
      </c>
      <c r="S185" s="45"/>
      <c r="T185" s="45"/>
    </row>
    <row r="186" spans="1:20" ht="60.75" customHeight="1">
      <c r="A186" s="41" t="s">
        <v>344</v>
      </c>
      <c r="B186" s="69" t="s">
        <v>364</v>
      </c>
      <c r="C186" s="19" t="s">
        <v>197</v>
      </c>
      <c r="D186" s="42" t="s">
        <v>271</v>
      </c>
      <c r="E186" s="42" t="s">
        <v>351</v>
      </c>
      <c r="F186" s="42" t="s">
        <v>365</v>
      </c>
      <c r="G186" s="42" t="s">
        <v>315</v>
      </c>
      <c r="H186" s="45">
        <f>98295.98/1000</f>
        <v>98.29598</v>
      </c>
      <c r="I186" s="45">
        <f>98295.98/1000</f>
        <v>98.29598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/>
      <c r="T186" s="45"/>
    </row>
    <row r="187" spans="1:20" s="57" customFormat="1" ht="27" customHeight="1">
      <c r="A187" s="161" t="s">
        <v>366</v>
      </c>
      <c r="B187" s="147" t="s">
        <v>675</v>
      </c>
      <c r="C187" s="26" t="s">
        <v>28</v>
      </c>
      <c r="D187" s="46"/>
      <c r="E187" s="46"/>
      <c r="F187" s="46" t="s">
        <v>367</v>
      </c>
      <c r="G187" s="46" t="s">
        <v>305</v>
      </c>
      <c r="H187" s="47">
        <f>H189+H190</f>
        <v>51658</v>
      </c>
      <c r="I187" s="47">
        <f>I189+I190</f>
        <v>51658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f>P195+P196+P200</f>
        <v>21894.56</v>
      </c>
      <c r="Q187" s="47">
        <f>Q195+Q196+Q200</f>
        <v>21807.4127</v>
      </c>
      <c r="R187" s="47">
        <f>R196+R190+R199</f>
        <v>0</v>
      </c>
      <c r="S187" s="47"/>
      <c r="T187" s="53"/>
    </row>
    <row r="188" spans="1:20" s="57" customFormat="1" ht="15.75">
      <c r="A188" s="161"/>
      <c r="B188" s="147"/>
      <c r="C188" s="19" t="s">
        <v>56</v>
      </c>
      <c r="D188" s="42"/>
      <c r="E188" s="42"/>
      <c r="F188" s="42"/>
      <c r="G188" s="42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7"/>
      <c r="T188" s="53"/>
    </row>
    <row r="189" spans="1:20" s="57" customFormat="1" ht="25.5">
      <c r="A189" s="161"/>
      <c r="B189" s="147"/>
      <c r="C189" s="19" t="s">
        <v>197</v>
      </c>
      <c r="D189" s="42" t="s">
        <v>271</v>
      </c>
      <c r="E189" s="42" t="s">
        <v>308</v>
      </c>
      <c r="F189" s="42" t="s">
        <v>612</v>
      </c>
      <c r="G189" s="42" t="s">
        <v>82</v>
      </c>
      <c r="H189" s="45">
        <f>H199</f>
        <v>23.6</v>
      </c>
      <c r="I189" s="45">
        <f>I199</f>
        <v>23.6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7"/>
      <c r="T189" s="53"/>
    </row>
    <row r="190" spans="1:20" s="57" customFormat="1" ht="25.5">
      <c r="A190" s="161"/>
      <c r="B190" s="147"/>
      <c r="C190" s="19" t="s">
        <v>613</v>
      </c>
      <c r="D190" s="42" t="s">
        <v>604</v>
      </c>
      <c r="E190" s="42" t="s">
        <v>308</v>
      </c>
      <c r="F190" s="42" t="s">
        <v>367</v>
      </c>
      <c r="G190" s="42" t="s">
        <v>305</v>
      </c>
      <c r="H190" s="45">
        <f>H195+H196</f>
        <v>51634.4</v>
      </c>
      <c r="I190" s="45">
        <f>I195+I196</f>
        <v>51634.4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f>P195+P199+P196+P200</f>
        <v>21894.56</v>
      </c>
      <c r="Q190" s="45">
        <f>Q195+Q196+Q200</f>
        <v>21807.4127</v>
      </c>
      <c r="R190" s="45">
        <f>R195</f>
        <v>0</v>
      </c>
      <c r="S190" s="47"/>
      <c r="T190" s="53"/>
    </row>
    <row r="191" spans="1:20" ht="73.5" customHeight="1">
      <c r="A191" s="159" t="s">
        <v>172</v>
      </c>
      <c r="B191" s="69" t="s">
        <v>614</v>
      </c>
      <c r="C191" s="19" t="s">
        <v>306</v>
      </c>
      <c r="D191" s="42" t="s">
        <v>307</v>
      </c>
      <c r="E191" s="42" t="s">
        <v>308</v>
      </c>
      <c r="F191" s="42" t="s">
        <v>615</v>
      </c>
      <c r="G191" s="42" t="s">
        <v>315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/>
      <c r="T191" s="53"/>
    </row>
    <row r="192" spans="1:20" ht="84.75" customHeight="1">
      <c r="A192" s="159"/>
      <c r="B192" s="69" t="s">
        <v>616</v>
      </c>
      <c r="C192" s="19" t="s">
        <v>306</v>
      </c>
      <c r="D192" s="42" t="s">
        <v>307</v>
      </c>
      <c r="E192" s="42" t="s">
        <v>308</v>
      </c>
      <c r="F192" s="42" t="s">
        <v>617</v>
      </c>
      <c r="G192" s="42"/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/>
      <c r="T192" s="53"/>
    </row>
    <row r="193" spans="1:20" ht="73.5" customHeight="1">
      <c r="A193" s="159" t="s">
        <v>313</v>
      </c>
      <c r="B193" s="69" t="s">
        <v>618</v>
      </c>
      <c r="C193" s="19" t="s">
        <v>306</v>
      </c>
      <c r="D193" s="42" t="s">
        <v>307</v>
      </c>
      <c r="E193" s="42" t="s">
        <v>308</v>
      </c>
      <c r="F193" s="42" t="s">
        <v>615</v>
      </c>
      <c r="G193" s="42" t="s">
        <v>315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/>
      <c r="T193" s="53"/>
    </row>
    <row r="194" spans="1:20" ht="90">
      <c r="A194" s="159"/>
      <c r="B194" s="69" t="s">
        <v>619</v>
      </c>
      <c r="C194" s="19" t="s">
        <v>306</v>
      </c>
      <c r="D194" s="42" t="s">
        <v>307</v>
      </c>
      <c r="E194" s="42" t="s">
        <v>308</v>
      </c>
      <c r="F194" s="42" t="s">
        <v>617</v>
      </c>
      <c r="G194" s="42"/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/>
      <c r="T194" s="53"/>
    </row>
    <row r="195" spans="1:20" ht="45">
      <c r="A195" s="159" t="s">
        <v>341</v>
      </c>
      <c r="B195" s="69" t="s">
        <v>368</v>
      </c>
      <c r="C195" s="19" t="s">
        <v>613</v>
      </c>
      <c r="D195" s="40">
        <v>585</v>
      </c>
      <c r="E195" s="42" t="s">
        <v>308</v>
      </c>
      <c r="F195" s="42" t="s">
        <v>620</v>
      </c>
      <c r="G195" s="40">
        <v>540</v>
      </c>
      <c r="H195" s="45">
        <f>51480000/1000</f>
        <v>51480</v>
      </c>
      <c r="I195" s="45">
        <f>51480000/1000</f>
        <v>51480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f>21591900/1000</f>
        <v>21591.9</v>
      </c>
      <c r="Q195" s="45">
        <f>P195</f>
        <v>21591.9</v>
      </c>
      <c r="R195" s="45">
        <v>0</v>
      </c>
      <c r="S195" s="45"/>
      <c r="T195" s="45"/>
    </row>
    <row r="196" spans="1:20" ht="60">
      <c r="A196" s="159"/>
      <c r="B196" s="69" t="s">
        <v>369</v>
      </c>
      <c r="C196" s="19" t="s">
        <v>613</v>
      </c>
      <c r="D196" s="40">
        <v>585</v>
      </c>
      <c r="E196" s="42" t="s">
        <v>308</v>
      </c>
      <c r="F196" s="42" t="s">
        <v>620</v>
      </c>
      <c r="G196" s="40">
        <v>540</v>
      </c>
      <c r="H196" s="45">
        <f>154400/1000</f>
        <v>154.4</v>
      </c>
      <c r="I196" s="45">
        <f>154400/1000</f>
        <v>154.4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f>64800/1000</f>
        <v>64.8</v>
      </c>
      <c r="Q196" s="45">
        <f>P196</f>
        <v>64.8</v>
      </c>
      <c r="R196" s="45">
        <v>0</v>
      </c>
      <c r="S196" s="45"/>
      <c r="T196" s="45"/>
    </row>
    <row r="197" spans="1:20" ht="52.5" customHeight="1">
      <c r="A197" s="159" t="s">
        <v>344</v>
      </c>
      <c r="B197" s="69" t="s">
        <v>621</v>
      </c>
      <c r="C197" s="19" t="s">
        <v>613</v>
      </c>
      <c r="D197" s="34">
        <v>585</v>
      </c>
      <c r="E197" s="42" t="s">
        <v>308</v>
      </c>
      <c r="F197" s="42" t="s">
        <v>620</v>
      </c>
      <c r="G197" s="34">
        <v>540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/>
      <c r="T197" s="53"/>
    </row>
    <row r="198" spans="1:20" ht="60">
      <c r="A198" s="159"/>
      <c r="B198" s="69" t="s">
        <v>622</v>
      </c>
      <c r="C198" s="19" t="s">
        <v>613</v>
      </c>
      <c r="D198" s="40">
        <v>585</v>
      </c>
      <c r="E198" s="42" t="s">
        <v>308</v>
      </c>
      <c r="F198" s="42" t="s">
        <v>620</v>
      </c>
      <c r="G198" s="40"/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/>
      <c r="T198" s="45"/>
    </row>
    <row r="199" spans="1:20" ht="15.75">
      <c r="A199" s="159" t="s">
        <v>347</v>
      </c>
      <c r="B199" s="181" t="s">
        <v>370</v>
      </c>
      <c r="C199" s="19" t="s">
        <v>623</v>
      </c>
      <c r="D199" s="40">
        <v>501</v>
      </c>
      <c r="E199" s="42" t="s">
        <v>308</v>
      </c>
      <c r="F199" s="43" t="s">
        <v>612</v>
      </c>
      <c r="G199" s="40">
        <v>240</v>
      </c>
      <c r="H199" s="45">
        <f>23600/1000</f>
        <v>23.6</v>
      </c>
      <c r="I199" s="45">
        <f>23600/1000</f>
        <v>23.6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/>
      <c r="T199" s="45"/>
    </row>
    <row r="200" spans="1:20" ht="25.5">
      <c r="A200" s="159"/>
      <c r="B200" s="181"/>
      <c r="C200" s="19" t="s">
        <v>613</v>
      </c>
      <c r="D200" s="40">
        <v>585</v>
      </c>
      <c r="E200" s="42" t="s">
        <v>308</v>
      </c>
      <c r="F200" s="43" t="s">
        <v>624</v>
      </c>
      <c r="G200" s="40">
        <v>540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f>237860/1000</f>
        <v>237.86</v>
      </c>
      <c r="Q200" s="45">
        <f>150712.7/1000</f>
        <v>150.7127</v>
      </c>
      <c r="R200" s="45">
        <v>0</v>
      </c>
      <c r="S200" s="45"/>
      <c r="T200" s="45"/>
    </row>
    <row r="201" spans="1:20" ht="25.5">
      <c r="A201" s="161" t="s">
        <v>371</v>
      </c>
      <c r="B201" s="147" t="s">
        <v>676</v>
      </c>
      <c r="C201" s="26" t="s">
        <v>28</v>
      </c>
      <c r="D201" s="42" t="s">
        <v>271</v>
      </c>
      <c r="E201" s="46" t="s">
        <v>272</v>
      </c>
      <c r="F201" s="46" t="s">
        <v>372</v>
      </c>
      <c r="G201" s="46" t="s">
        <v>305</v>
      </c>
      <c r="H201" s="47">
        <v>0</v>
      </c>
      <c r="I201" s="47">
        <f>I203</f>
        <v>0</v>
      </c>
      <c r="J201" s="47">
        <v>0</v>
      </c>
      <c r="K201" s="47">
        <v>0</v>
      </c>
      <c r="L201" s="47">
        <f aca="true" t="shared" si="36" ref="L201:R201">L203</f>
        <v>0</v>
      </c>
      <c r="M201" s="47">
        <f t="shared" si="36"/>
        <v>0</v>
      </c>
      <c r="N201" s="47">
        <f t="shared" si="36"/>
        <v>0</v>
      </c>
      <c r="O201" s="47">
        <f t="shared" si="36"/>
        <v>0</v>
      </c>
      <c r="P201" s="47">
        <v>0</v>
      </c>
      <c r="Q201" s="47">
        <f t="shared" si="36"/>
        <v>0</v>
      </c>
      <c r="R201" s="47">
        <f t="shared" si="36"/>
        <v>0</v>
      </c>
      <c r="S201" s="45"/>
      <c r="T201" s="47"/>
    </row>
    <row r="202" spans="1:20" ht="27" customHeight="1">
      <c r="A202" s="161"/>
      <c r="B202" s="147"/>
      <c r="C202" s="19" t="s">
        <v>56</v>
      </c>
      <c r="D202" s="42"/>
      <c r="E202" s="42"/>
      <c r="F202" s="42"/>
      <c r="G202" s="42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7"/>
    </row>
    <row r="203" spans="1:20" ht="25.5">
      <c r="A203" s="161"/>
      <c r="B203" s="147"/>
      <c r="C203" s="19" t="s">
        <v>197</v>
      </c>
      <c r="D203" s="42" t="s">
        <v>271</v>
      </c>
      <c r="E203" s="42" t="s">
        <v>272</v>
      </c>
      <c r="F203" s="42" t="s">
        <v>372</v>
      </c>
      <c r="G203" s="42" t="s">
        <v>305</v>
      </c>
      <c r="H203" s="45">
        <v>0</v>
      </c>
      <c r="I203" s="45">
        <f>I204</f>
        <v>0</v>
      </c>
      <c r="J203" s="45">
        <v>0</v>
      </c>
      <c r="K203" s="45">
        <v>0</v>
      </c>
      <c r="L203" s="45">
        <f aca="true" t="shared" si="37" ref="L203:R203">L204</f>
        <v>0</v>
      </c>
      <c r="M203" s="45">
        <f t="shared" si="37"/>
        <v>0</v>
      </c>
      <c r="N203" s="45">
        <f t="shared" si="37"/>
        <v>0</v>
      </c>
      <c r="O203" s="45">
        <f t="shared" si="37"/>
        <v>0</v>
      </c>
      <c r="P203" s="45">
        <v>0</v>
      </c>
      <c r="Q203" s="45">
        <f t="shared" si="37"/>
        <v>0</v>
      </c>
      <c r="R203" s="45">
        <f t="shared" si="37"/>
        <v>0</v>
      </c>
      <c r="S203" s="45"/>
      <c r="T203" s="47"/>
    </row>
    <row r="204" spans="1:20" ht="49.5" customHeight="1">
      <c r="A204" s="41" t="s">
        <v>172</v>
      </c>
      <c r="B204" s="69" t="s">
        <v>373</v>
      </c>
      <c r="C204" s="19" t="s">
        <v>197</v>
      </c>
      <c r="D204" s="42" t="s">
        <v>271</v>
      </c>
      <c r="E204" s="42" t="s">
        <v>351</v>
      </c>
      <c r="F204" s="42" t="s">
        <v>374</v>
      </c>
      <c r="G204" s="42" t="s">
        <v>315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/>
      <c r="T204" s="53"/>
    </row>
    <row r="205" spans="1:21" ht="29.25" customHeight="1">
      <c r="A205" s="161" t="s">
        <v>734</v>
      </c>
      <c r="B205" s="147" t="s">
        <v>677</v>
      </c>
      <c r="C205" s="19" t="s">
        <v>28</v>
      </c>
      <c r="D205" s="42" t="s">
        <v>271</v>
      </c>
      <c r="E205" s="42" t="s">
        <v>421</v>
      </c>
      <c r="F205" s="42" t="s">
        <v>422</v>
      </c>
      <c r="G205" s="40" t="s">
        <v>305</v>
      </c>
      <c r="H205" s="47">
        <f>H207</f>
        <v>18114.48821</v>
      </c>
      <c r="I205" s="47">
        <f>I207</f>
        <v>11229.512209999999</v>
      </c>
      <c r="J205" s="47">
        <f aca="true" t="shared" si="38" ref="J205:Q205">J207</f>
        <v>1661.5680300000001</v>
      </c>
      <c r="K205" s="47">
        <f t="shared" si="38"/>
        <v>1661.5680300000001</v>
      </c>
      <c r="L205" s="47">
        <f t="shared" si="38"/>
        <v>2931.99481</v>
      </c>
      <c r="M205" s="47">
        <f t="shared" si="38"/>
        <v>2931.99481</v>
      </c>
      <c r="N205" s="47">
        <f t="shared" si="38"/>
        <v>3989.6407500000005</v>
      </c>
      <c r="O205" s="47">
        <f>O207</f>
        <v>3989.6407500000005</v>
      </c>
      <c r="P205" s="47">
        <f>P207</f>
        <v>13089.762480000001</v>
      </c>
      <c r="Q205" s="47">
        <f t="shared" si="38"/>
        <v>6317.50648</v>
      </c>
      <c r="R205" s="47">
        <f>R207</f>
        <v>7520.03222</v>
      </c>
      <c r="S205" s="45"/>
      <c r="T205" s="45"/>
      <c r="U205" s="61"/>
    </row>
    <row r="206" spans="1:21" ht="15.75">
      <c r="A206" s="161"/>
      <c r="B206" s="147"/>
      <c r="C206" s="19" t="s">
        <v>56</v>
      </c>
      <c r="D206" s="42"/>
      <c r="E206" s="42"/>
      <c r="F206" s="42"/>
      <c r="G206" s="40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61"/>
    </row>
    <row r="207" spans="1:20" ht="89.25" customHeight="1">
      <c r="A207" s="161"/>
      <c r="B207" s="147"/>
      <c r="C207" s="19" t="s">
        <v>197</v>
      </c>
      <c r="D207" s="42" t="s">
        <v>271</v>
      </c>
      <c r="E207" s="42" t="s">
        <v>421</v>
      </c>
      <c r="F207" s="42" t="s">
        <v>422</v>
      </c>
      <c r="G207" s="40" t="s">
        <v>305</v>
      </c>
      <c r="H207" s="45">
        <f aca="true" t="shared" si="39" ref="H207:O207">H210+H214+H220+H228+H232+H243+H250+H254+H266</f>
        <v>18114.48821</v>
      </c>
      <c r="I207" s="45">
        <f t="shared" si="39"/>
        <v>11229.512209999999</v>
      </c>
      <c r="J207" s="45">
        <f t="shared" si="39"/>
        <v>1661.5680300000001</v>
      </c>
      <c r="K207" s="45">
        <f t="shared" si="39"/>
        <v>1661.5680300000001</v>
      </c>
      <c r="L207" s="45">
        <f t="shared" si="39"/>
        <v>2931.99481</v>
      </c>
      <c r="M207" s="45">
        <f t="shared" si="39"/>
        <v>2931.99481</v>
      </c>
      <c r="N207" s="45">
        <f t="shared" si="39"/>
        <v>3989.6407500000005</v>
      </c>
      <c r="O207" s="45">
        <f t="shared" si="39"/>
        <v>3989.6407500000005</v>
      </c>
      <c r="P207" s="45">
        <f>P210+P214+P220+P228+P232+P243+P250+P254+P266</f>
        <v>13089.762480000001</v>
      </c>
      <c r="Q207" s="45">
        <f>Q210+Q214+Q220+Q228+Q232+Q243+Q250+Q254+Q266</f>
        <v>6317.50648</v>
      </c>
      <c r="R207" s="45">
        <f>R210+R214+R220+R228+R232+R243+R250+R254</f>
        <v>7520.03222</v>
      </c>
      <c r="S207" s="45"/>
      <c r="T207" s="45"/>
    </row>
    <row r="208" spans="1:21" ht="22.5" customHeight="1">
      <c r="A208" s="161" t="s">
        <v>31</v>
      </c>
      <c r="B208" s="147" t="s">
        <v>678</v>
      </c>
      <c r="C208" s="19" t="s">
        <v>28</v>
      </c>
      <c r="D208" s="42" t="s">
        <v>271</v>
      </c>
      <c r="E208" s="42" t="s">
        <v>423</v>
      </c>
      <c r="F208" s="42" t="s">
        <v>424</v>
      </c>
      <c r="G208" s="40" t="s">
        <v>305</v>
      </c>
      <c r="H208" s="47">
        <f>H210</f>
        <v>5357.070559999999</v>
      </c>
      <c r="I208" s="47">
        <f>I210</f>
        <v>5357.070559999999</v>
      </c>
      <c r="J208" s="47">
        <f aca="true" t="shared" si="40" ref="J208:R208">J210</f>
        <v>1661.5680300000001</v>
      </c>
      <c r="K208" s="47">
        <f t="shared" si="40"/>
        <v>1661.5680300000001</v>
      </c>
      <c r="L208" s="47">
        <f t="shared" si="40"/>
        <v>2931.99481</v>
      </c>
      <c r="M208" s="47">
        <f>M210</f>
        <v>2931.99481</v>
      </c>
      <c r="N208" s="47">
        <f>N210</f>
        <v>3989.6407500000005</v>
      </c>
      <c r="O208" s="47">
        <f>O210</f>
        <v>3989.6407500000005</v>
      </c>
      <c r="P208" s="47">
        <f>P210</f>
        <v>5826.07948</v>
      </c>
      <c r="Q208" s="47">
        <f>Q210</f>
        <v>5826.07948</v>
      </c>
      <c r="R208" s="47">
        <f t="shared" si="40"/>
        <v>7108.558</v>
      </c>
      <c r="S208" s="45"/>
      <c r="T208" s="45"/>
      <c r="U208" s="61"/>
    </row>
    <row r="209" spans="1:20" ht="15.75">
      <c r="A209" s="161"/>
      <c r="B209" s="147"/>
      <c r="C209" s="19" t="s">
        <v>56</v>
      </c>
      <c r="D209" s="42"/>
      <c r="E209" s="42"/>
      <c r="F209" s="42"/>
      <c r="G209" s="40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</row>
    <row r="210" spans="1:20" ht="35.25" customHeight="1">
      <c r="A210" s="161"/>
      <c r="B210" s="147"/>
      <c r="C210" s="19" t="s">
        <v>197</v>
      </c>
      <c r="D210" s="42" t="s">
        <v>271</v>
      </c>
      <c r="E210" s="42" t="s">
        <v>423</v>
      </c>
      <c r="F210" s="42" t="s">
        <v>424</v>
      </c>
      <c r="G210" s="40" t="s">
        <v>305</v>
      </c>
      <c r="H210" s="45">
        <f>5357070.56/1000</f>
        <v>5357.070559999999</v>
      </c>
      <c r="I210" s="45">
        <f>5357070.56/1000</f>
        <v>5357.070559999999</v>
      </c>
      <c r="J210" s="45">
        <f aca="true" t="shared" si="41" ref="J210:R210">J211</f>
        <v>1661.5680300000001</v>
      </c>
      <c r="K210" s="45">
        <f t="shared" si="41"/>
        <v>1661.5680300000001</v>
      </c>
      <c r="L210" s="45">
        <f t="shared" si="41"/>
        <v>2931.99481</v>
      </c>
      <c r="M210" s="45">
        <f t="shared" si="41"/>
        <v>2931.99481</v>
      </c>
      <c r="N210" s="45">
        <f t="shared" si="41"/>
        <v>3989.6407500000005</v>
      </c>
      <c r="O210" s="45">
        <f t="shared" si="41"/>
        <v>3989.6407500000005</v>
      </c>
      <c r="P210" s="45">
        <f t="shared" si="41"/>
        <v>5826.07948</v>
      </c>
      <c r="Q210" s="45">
        <f t="shared" si="41"/>
        <v>5826.07948</v>
      </c>
      <c r="R210" s="45">
        <f t="shared" si="41"/>
        <v>7108.558</v>
      </c>
      <c r="S210" s="45"/>
      <c r="T210" s="53"/>
    </row>
    <row r="211" spans="1:20" ht="90" customHeight="1">
      <c r="A211" s="41" t="s">
        <v>85</v>
      </c>
      <c r="B211" s="69" t="s">
        <v>425</v>
      </c>
      <c r="C211" s="19" t="s">
        <v>197</v>
      </c>
      <c r="D211" s="42">
        <v>501</v>
      </c>
      <c r="E211" s="42" t="s">
        <v>423</v>
      </c>
      <c r="F211" s="42" t="s">
        <v>426</v>
      </c>
      <c r="G211" s="40">
        <v>810</v>
      </c>
      <c r="H211" s="45">
        <f>5357120/1000</f>
        <v>5357.12</v>
      </c>
      <c r="I211" s="45">
        <f>5357070.56/1000</f>
        <v>5357.070559999999</v>
      </c>
      <c r="J211" s="45">
        <f>1661568.03/1000</f>
        <v>1661.5680300000001</v>
      </c>
      <c r="K211" s="45">
        <f>J211</f>
        <v>1661.5680300000001</v>
      </c>
      <c r="L211" s="45">
        <f>2931994.81/1000</f>
        <v>2931.99481</v>
      </c>
      <c r="M211" s="45">
        <f>L211</f>
        <v>2931.99481</v>
      </c>
      <c r="N211" s="45">
        <f>L211+1057.64594</f>
        <v>3989.6407500000005</v>
      </c>
      <c r="O211" s="45">
        <f>N211</f>
        <v>3989.6407500000005</v>
      </c>
      <c r="P211" s="45">
        <f>L211+2894.08467</f>
        <v>5826.07948</v>
      </c>
      <c r="Q211" s="45">
        <f>P211</f>
        <v>5826.07948</v>
      </c>
      <c r="R211" s="45">
        <f>7108558/1000</f>
        <v>7108.558</v>
      </c>
      <c r="S211" s="45"/>
      <c r="T211" s="53"/>
    </row>
    <row r="212" spans="1:20" ht="15.75">
      <c r="A212" s="161" t="s">
        <v>86</v>
      </c>
      <c r="B212" s="147" t="s">
        <v>679</v>
      </c>
      <c r="C212" s="19" t="s">
        <v>28</v>
      </c>
      <c r="D212" s="42" t="s">
        <v>271</v>
      </c>
      <c r="E212" s="42" t="s">
        <v>272</v>
      </c>
      <c r="F212" s="42" t="s">
        <v>427</v>
      </c>
      <c r="G212" s="40" t="s">
        <v>305</v>
      </c>
      <c r="H212" s="45">
        <f>H214</f>
        <v>0</v>
      </c>
      <c r="I212" s="45">
        <v>0</v>
      </c>
      <c r="J212" s="45">
        <f aca="true" t="shared" si="42" ref="J212:R212">J214</f>
        <v>0</v>
      </c>
      <c r="K212" s="45">
        <f t="shared" si="42"/>
        <v>0</v>
      </c>
      <c r="L212" s="45">
        <f t="shared" si="42"/>
        <v>0</v>
      </c>
      <c r="M212" s="45">
        <f t="shared" si="42"/>
        <v>0</v>
      </c>
      <c r="N212" s="45">
        <f t="shared" si="42"/>
        <v>0</v>
      </c>
      <c r="O212" s="45">
        <f>O214</f>
        <v>0</v>
      </c>
      <c r="P212" s="45">
        <f t="shared" si="42"/>
        <v>0</v>
      </c>
      <c r="Q212" s="45">
        <v>0</v>
      </c>
      <c r="R212" s="45">
        <f t="shared" si="42"/>
        <v>0</v>
      </c>
      <c r="S212" s="45"/>
      <c r="T212" s="53"/>
    </row>
    <row r="213" spans="1:20" ht="15.75">
      <c r="A213" s="161"/>
      <c r="B213" s="147"/>
      <c r="C213" s="19" t="s">
        <v>56</v>
      </c>
      <c r="D213" s="42"/>
      <c r="E213" s="42"/>
      <c r="F213" s="42"/>
      <c r="G213" s="40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53"/>
    </row>
    <row r="214" spans="1:20" ht="49.5" customHeight="1">
      <c r="A214" s="161"/>
      <c r="B214" s="147"/>
      <c r="C214" s="19" t="s">
        <v>197</v>
      </c>
      <c r="D214" s="42" t="s">
        <v>271</v>
      </c>
      <c r="E214" s="42" t="s">
        <v>272</v>
      </c>
      <c r="F214" s="42" t="s">
        <v>427</v>
      </c>
      <c r="G214" s="40" t="s">
        <v>305</v>
      </c>
      <c r="H214" s="45">
        <f aca="true" t="shared" si="43" ref="H214:R214">H215</f>
        <v>0</v>
      </c>
      <c r="I214" s="45">
        <v>0</v>
      </c>
      <c r="J214" s="45">
        <f t="shared" si="43"/>
        <v>0</v>
      </c>
      <c r="K214" s="45">
        <f t="shared" si="43"/>
        <v>0</v>
      </c>
      <c r="L214" s="45">
        <f t="shared" si="43"/>
        <v>0</v>
      </c>
      <c r="M214" s="45">
        <f t="shared" si="43"/>
        <v>0</v>
      </c>
      <c r="N214" s="45">
        <f t="shared" si="43"/>
        <v>0</v>
      </c>
      <c r="O214" s="45">
        <v>0</v>
      </c>
      <c r="P214" s="45">
        <f t="shared" si="43"/>
        <v>0</v>
      </c>
      <c r="Q214" s="45">
        <v>0</v>
      </c>
      <c r="R214" s="45">
        <f t="shared" si="43"/>
        <v>0</v>
      </c>
      <c r="S214" s="45"/>
      <c r="T214" s="53"/>
    </row>
    <row r="215" spans="1:20" ht="56.25" customHeight="1">
      <c r="A215" s="41" t="s">
        <v>172</v>
      </c>
      <c r="B215" s="69" t="s">
        <v>428</v>
      </c>
      <c r="C215" s="19" t="s">
        <v>197</v>
      </c>
      <c r="D215" s="42" t="s">
        <v>271</v>
      </c>
      <c r="E215" s="42" t="s">
        <v>272</v>
      </c>
      <c r="F215" s="42" t="s">
        <v>429</v>
      </c>
      <c r="G215" s="40">
        <v>240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/>
      <c r="T215" s="53"/>
    </row>
    <row r="216" spans="1:20" ht="47.25" customHeight="1">
      <c r="A216" s="41" t="s">
        <v>430</v>
      </c>
      <c r="B216" s="69" t="s">
        <v>431</v>
      </c>
      <c r="C216" s="19" t="s">
        <v>197</v>
      </c>
      <c r="D216" s="42" t="s">
        <v>271</v>
      </c>
      <c r="E216" s="42" t="s">
        <v>272</v>
      </c>
      <c r="F216" s="42" t="s">
        <v>429</v>
      </c>
      <c r="G216" s="40">
        <v>240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/>
      <c r="T216" s="45"/>
    </row>
    <row r="217" spans="1:20" ht="44.25" customHeight="1">
      <c r="A217" s="41" t="s">
        <v>432</v>
      </c>
      <c r="B217" s="69" t="s">
        <v>433</v>
      </c>
      <c r="C217" s="19" t="s">
        <v>197</v>
      </c>
      <c r="D217" s="42" t="s">
        <v>271</v>
      </c>
      <c r="E217" s="42" t="s">
        <v>272</v>
      </c>
      <c r="F217" s="42" t="s">
        <v>429</v>
      </c>
      <c r="G217" s="40">
        <v>240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/>
      <c r="T217" s="45"/>
    </row>
    <row r="218" spans="1:20" ht="25.5" customHeight="1">
      <c r="A218" s="161" t="s">
        <v>366</v>
      </c>
      <c r="B218" s="147" t="s">
        <v>680</v>
      </c>
      <c r="C218" s="19" t="s">
        <v>28</v>
      </c>
      <c r="D218" s="42" t="s">
        <v>271</v>
      </c>
      <c r="E218" s="42" t="s">
        <v>434</v>
      </c>
      <c r="F218" s="42" t="s">
        <v>435</v>
      </c>
      <c r="G218" s="40" t="s">
        <v>305</v>
      </c>
      <c r="H218" s="45">
        <f>H220</f>
        <v>0</v>
      </c>
      <c r="I218" s="45">
        <f>I220</f>
        <v>0</v>
      </c>
      <c r="J218" s="45">
        <f aca="true" t="shared" si="44" ref="J218:R218">J220</f>
        <v>0</v>
      </c>
      <c r="K218" s="45">
        <f t="shared" si="44"/>
        <v>0</v>
      </c>
      <c r="L218" s="45">
        <f t="shared" si="44"/>
        <v>0</v>
      </c>
      <c r="M218" s="45">
        <f>M220</f>
        <v>0</v>
      </c>
      <c r="N218" s="45">
        <f t="shared" si="44"/>
        <v>0</v>
      </c>
      <c r="O218" s="45">
        <v>0</v>
      </c>
      <c r="P218" s="45">
        <f t="shared" si="44"/>
        <v>0</v>
      </c>
      <c r="Q218" s="45">
        <f>Q220</f>
        <v>0</v>
      </c>
      <c r="R218" s="45">
        <f t="shared" si="44"/>
        <v>0</v>
      </c>
      <c r="S218" s="45"/>
      <c r="T218" s="45"/>
    </row>
    <row r="219" spans="1:20" ht="15.75">
      <c r="A219" s="161"/>
      <c r="B219" s="147"/>
      <c r="C219" s="19" t="s">
        <v>56</v>
      </c>
      <c r="D219" s="42"/>
      <c r="E219" s="42"/>
      <c r="F219" s="42"/>
      <c r="G219" s="40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</row>
    <row r="220" spans="1:20" ht="46.5" customHeight="1">
      <c r="A220" s="161"/>
      <c r="B220" s="147"/>
      <c r="C220" s="19" t="s">
        <v>197</v>
      </c>
      <c r="D220" s="42" t="s">
        <v>271</v>
      </c>
      <c r="E220" s="42" t="s">
        <v>434</v>
      </c>
      <c r="F220" s="42" t="s">
        <v>435</v>
      </c>
      <c r="G220" s="40" t="s">
        <v>305</v>
      </c>
      <c r="H220" s="45">
        <f>H221</f>
        <v>0</v>
      </c>
      <c r="I220" s="45">
        <f>I221</f>
        <v>0</v>
      </c>
      <c r="J220" s="45">
        <f aca="true" t="shared" si="45" ref="J220:R220">J221</f>
        <v>0</v>
      </c>
      <c r="K220" s="45">
        <f t="shared" si="45"/>
        <v>0</v>
      </c>
      <c r="L220" s="45">
        <f t="shared" si="45"/>
        <v>0</v>
      </c>
      <c r="M220" s="45">
        <f>M221</f>
        <v>0</v>
      </c>
      <c r="N220" s="45">
        <f t="shared" si="45"/>
        <v>0</v>
      </c>
      <c r="O220" s="45">
        <v>0</v>
      </c>
      <c r="P220" s="45">
        <f>P221</f>
        <v>0</v>
      </c>
      <c r="Q220" s="45">
        <f>Q221</f>
        <v>0</v>
      </c>
      <c r="R220" s="45">
        <f t="shared" si="45"/>
        <v>0</v>
      </c>
      <c r="S220" s="45"/>
      <c r="T220" s="45"/>
    </row>
    <row r="221" spans="1:20" ht="45">
      <c r="A221" s="41" t="s">
        <v>172</v>
      </c>
      <c r="B221" s="69" t="s">
        <v>436</v>
      </c>
      <c r="C221" s="19" t="s">
        <v>197</v>
      </c>
      <c r="D221" s="42" t="s">
        <v>271</v>
      </c>
      <c r="E221" s="42" t="s">
        <v>434</v>
      </c>
      <c r="F221" s="42" t="s">
        <v>437</v>
      </c>
      <c r="G221" s="40">
        <v>240</v>
      </c>
      <c r="H221" s="45">
        <f>H222+H224+H225</f>
        <v>0</v>
      </c>
      <c r="I221" s="45">
        <f>I222+I223+I224+I225</f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/>
      <c r="T221" s="45"/>
    </row>
    <row r="222" spans="1:20" ht="90">
      <c r="A222" s="41" t="s">
        <v>430</v>
      </c>
      <c r="B222" s="69" t="s">
        <v>438</v>
      </c>
      <c r="C222" s="19" t="s">
        <v>197</v>
      </c>
      <c r="D222" s="42" t="s">
        <v>271</v>
      </c>
      <c r="E222" s="42" t="s">
        <v>434</v>
      </c>
      <c r="F222" s="42" t="s">
        <v>437</v>
      </c>
      <c r="G222" s="40">
        <v>240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/>
      <c r="T222" s="45"/>
    </row>
    <row r="223" spans="1:20" ht="76.5" customHeight="1" hidden="1">
      <c r="A223" s="41" t="s">
        <v>432</v>
      </c>
      <c r="B223" s="69" t="s">
        <v>439</v>
      </c>
      <c r="C223" s="19" t="s">
        <v>197</v>
      </c>
      <c r="D223" s="42" t="s">
        <v>271</v>
      </c>
      <c r="E223" s="42" t="s">
        <v>434</v>
      </c>
      <c r="F223" s="42" t="s">
        <v>440</v>
      </c>
      <c r="G223" s="40">
        <v>240</v>
      </c>
      <c r="H223" s="45">
        <v>199619</v>
      </c>
      <c r="I223" s="45"/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199619</v>
      </c>
      <c r="Q223" s="45"/>
      <c r="R223" s="45">
        <v>0</v>
      </c>
      <c r="S223" s="45"/>
      <c r="T223" s="45"/>
    </row>
    <row r="224" spans="1:20" ht="75">
      <c r="A224" s="41" t="s">
        <v>432</v>
      </c>
      <c r="B224" s="69" t="s">
        <v>441</v>
      </c>
      <c r="C224" s="19" t="s">
        <v>197</v>
      </c>
      <c r="D224" s="42" t="s">
        <v>271</v>
      </c>
      <c r="E224" s="42" t="s">
        <v>434</v>
      </c>
      <c r="F224" s="42" t="s">
        <v>437</v>
      </c>
      <c r="G224" s="40">
        <v>240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/>
      <c r="T224" s="45"/>
    </row>
    <row r="225" spans="1:20" ht="76.5" customHeight="1">
      <c r="A225" s="41" t="s">
        <v>442</v>
      </c>
      <c r="B225" s="69" t="s">
        <v>443</v>
      </c>
      <c r="C225" s="19" t="s">
        <v>197</v>
      </c>
      <c r="D225" s="42" t="s">
        <v>271</v>
      </c>
      <c r="E225" s="42" t="s">
        <v>434</v>
      </c>
      <c r="F225" s="42" t="s">
        <v>437</v>
      </c>
      <c r="G225" s="40">
        <v>240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/>
      <c r="T225" s="45"/>
    </row>
    <row r="226" spans="1:20" ht="30" customHeight="1">
      <c r="A226" s="187" t="s">
        <v>371</v>
      </c>
      <c r="B226" s="147" t="s">
        <v>681</v>
      </c>
      <c r="C226" s="19" t="s">
        <v>28</v>
      </c>
      <c r="D226" s="40">
        <v>501</v>
      </c>
      <c r="E226" s="42" t="s">
        <v>434</v>
      </c>
      <c r="F226" s="42" t="s">
        <v>444</v>
      </c>
      <c r="G226" s="42" t="s">
        <v>305</v>
      </c>
      <c r="H226" s="45">
        <f>H229</f>
        <v>0</v>
      </c>
      <c r="I226" s="45">
        <f aca="true" t="shared" si="46" ref="I226:R226">I229</f>
        <v>0</v>
      </c>
      <c r="J226" s="45">
        <f t="shared" si="46"/>
        <v>0</v>
      </c>
      <c r="K226" s="45">
        <f t="shared" si="46"/>
        <v>0</v>
      </c>
      <c r="L226" s="45">
        <f t="shared" si="46"/>
        <v>0</v>
      </c>
      <c r="M226" s="45">
        <f t="shared" si="46"/>
        <v>0</v>
      </c>
      <c r="N226" s="45">
        <f t="shared" si="46"/>
        <v>0</v>
      </c>
      <c r="O226" s="45">
        <f t="shared" si="46"/>
        <v>0</v>
      </c>
      <c r="P226" s="45">
        <f t="shared" si="46"/>
        <v>0</v>
      </c>
      <c r="Q226" s="45">
        <f t="shared" si="46"/>
        <v>0</v>
      </c>
      <c r="R226" s="45">
        <f t="shared" si="46"/>
        <v>0</v>
      </c>
      <c r="S226" s="45"/>
      <c r="T226" s="45"/>
    </row>
    <row r="227" spans="1:20" ht="15.75">
      <c r="A227" s="187"/>
      <c r="B227" s="147"/>
      <c r="C227" s="19" t="s">
        <v>56</v>
      </c>
      <c r="D227" s="40"/>
      <c r="E227" s="42"/>
      <c r="F227" s="42"/>
      <c r="G227" s="42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1:20" ht="25.5" customHeight="1">
      <c r="A228" s="187"/>
      <c r="B228" s="147"/>
      <c r="C228" s="19" t="s">
        <v>197</v>
      </c>
      <c r="D228" s="40">
        <v>501</v>
      </c>
      <c r="E228" s="42" t="s">
        <v>434</v>
      </c>
      <c r="F228" s="42" t="s">
        <v>444</v>
      </c>
      <c r="G228" s="42" t="s">
        <v>305</v>
      </c>
      <c r="H228" s="45">
        <f>H229</f>
        <v>0</v>
      </c>
      <c r="I228" s="45">
        <f>I229</f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f>N229</f>
        <v>0</v>
      </c>
      <c r="O228" s="45">
        <f>O229</f>
        <v>0</v>
      </c>
      <c r="P228" s="45">
        <f>P229</f>
        <v>0</v>
      </c>
      <c r="Q228" s="45">
        <f>Q229</f>
        <v>0</v>
      </c>
      <c r="R228" s="45">
        <v>0</v>
      </c>
      <c r="S228" s="45"/>
      <c r="T228" s="45"/>
    </row>
    <row r="229" spans="1:20" ht="72" customHeight="1">
      <c r="A229" s="52" t="s">
        <v>172</v>
      </c>
      <c r="B229" s="69" t="s">
        <v>445</v>
      </c>
      <c r="C229" s="19" t="s">
        <v>197</v>
      </c>
      <c r="D229" s="40">
        <v>501</v>
      </c>
      <c r="E229" s="42" t="s">
        <v>434</v>
      </c>
      <c r="F229" s="42" t="s">
        <v>446</v>
      </c>
      <c r="G229" s="42" t="s">
        <v>312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/>
      <c r="T229" s="45"/>
    </row>
    <row r="230" spans="1:20" ht="25.5" customHeight="1">
      <c r="A230" s="187" t="s">
        <v>447</v>
      </c>
      <c r="B230" s="147" t="s">
        <v>682</v>
      </c>
      <c r="C230" s="19" t="s">
        <v>28</v>
      </c>
      <c r="D230" s="40">
        <v>501</v>
      </c>
      <c r="E230" s="42" t="s">
        <v>434</v>
      </c>
      <c r="F230" s="42" t="s">
        <v>448</v>
      </c>
      <c r="G230" s="42" t="s">
        <v>305</v>
      </c>
      <c r="H230" s="47">
        <f>H232</f>
        <v>2354.69765</v>
      </c>
      <c r="I230" s="47">
        <f>I232</f>
        <v>2354.69765</v>
      </c>
      <c r="J230" s="47">
        <v>0</v>
      </c>
      <c r="K230" s="47">
        <f>K232</f>
        <v>0</v>
      </c>
      <c r="L230" s="47">
        <v>0</v>
      </c>
      <c r="M230" s="47">
        <f>M232</f>
        <v>0</v>
      </c>
      <c r="N230" s="47">
        <f>N232</f>
        <v>0</v>
      </c>
      <c r="O230" s="47">
        <f>O232</f>
        <v>0</v>
      </c>
      <c r="P230" s="47">
        <f>P232</f>
        <v>262.107</v>
      </c>
      <c r="Q230" s="47">
        <f>Q232</f>
        <v>262.107</v>
      </c>
      <c r="R230" s="47">
        <v>0</v>
      </c>
      <c r="S230" s="45"/>
      <c r="T230" s="45"/>
    </row>
    <row r="231" spans="1:20" ht="15.75">
      <c r="A231" s="187"/>
      <c r="B231" s="147"/>
      <c r="C231" s="19" t="s">
        <v>56</v>
      </c>
      <c r="D231" s="40"/>
      <c r="E231" s="42"/>
      <c r="F231" s="42"/>
      <c r="G231" s="42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</row>
    <row r="232" spans="1:20" ht="25.5" customHeight="1">
      <c r="A232" s="187"/>
      <c r="B232" s="147"/>
      <c r="C232" s="19" t="s">
        <v>197</v>
      </c>
      <c r="D232" s="40">
        <v>501</v>
      </c>
      <c r="E232" s="42" t="s">
        <v>434</v>
      </c>
      <c r="F232" s="42" t="s">
        <v>448</v>
      </c>
      <c r="G232" s="42" t="s">
        <v>305</v>
      </c>
      <c r="H232" s="45">
        <f>H233+H237+H240</f>
        <v>2354.69765</v>
      </c>
      <c r="I232" s="45">
        <f>I233+I237+I240</f>
        <v>2354.69765</v>
      </c>
      <c r="J232" s="45">
        <f aca="true" t="shared" si="47" ref="J232:Q232">J233+J237+J240</f>
        <v>0</v>
      </c>
      <c r="K232" s="45">
        <f>K237</f>
        <v>0</v>
      </c>
      <c r="L232" s="45">
        <f t="shared" si="47"/>
        <v>0</v>
      </c>
      <c r="M232" s="45">
        <f t="shared" si="47"/>
        <v>0</v>
      </c>
      <c r="N232" s="45">
        <f t="shared" si="47"/>
        <v>0</v>
      </c>
      <c r="O232" s="45">
        <f>O233+O237+O240</f>
        <v>0</v>
      </c>
      <c r="P232" s="45">
        <f>262107/1000</f>
        <v>262.107</v>
      </c>
      <c r="Q232" s="45">
        <f t="shared" si="47"/>
        <v>262.107</v>
      </c>
      <c r="R232" s="45">
        <f>R233+R236</f>
        <v>0</v>
      </c>
      <c r="S232" s="45"/>
      <c r="T232" s="45"/>
    </row>
    <row r="233" spans="1:23" ht="110.25" customHeight="1">
      <c r="A233" s="52" t="s">
        <v>449</v>
      </c>
      <c r="B233" s="69" t="s">
        <v>450</v>
      </c>
      <c r="C233" s="19" t="s">
        <v>197</v>
      </c>
      <c r="D233" s="40">
        <v>501</v>
      </c>
      <c r="E233" s="42" t="s">
        <v>434</v>
      </c>
      <c r="F233" s="42" t="s">
        <v>451</v>
      </c>
      <c r="G233" s="42" t="s">
        <v>312</v>
      </c>
      <c r="H233" s="45">
        <v>0</v>
      </c>
      <c r="I233" s="45">
        <v>0</v>
      </c>
      <c r="J233" s="45">
        <f aca="true" t="shared" si="48" ref="J233:R233">J234+J235+J236</f>
        <v>0</v>
      </c>
      <c r="K233" s="45">
        <v>0</v>
      </c>
      <c r="L233" s="45">
        <f t="shared" si="48"/>
        <v>0</v>
      </c>
      <c r="M233" s="45">
        <v>0</v>
      </c>
      <c r="N233" s="45">
        <f t="shared" si="48"/>
        <v>0</v>
      </c>
      <c r="O233" s="45">
        <f t="shared" si="48"/>
        <v>0</v>
      </c>
      <c r="P233" s="45">
        <f>262107/1000</f>
        <v>262.107</v>
      </c>
      <c r="Q233" s="45">
        <f>262107/1000</f>
        <v>262.107</v>
      </c>
      <c r="R233" s="45">
        <f t="shared" si="48"/>
        <v>0</v>
      </c>
      <c r="S233" s="45"/>
      <c r="T233" s="45"/>
      <c r="W233" s="61"/>
    </row>
    <row r="234" spans="1:22" ht="120">
      <c r="A234" s="52" t="s">
        <v>430</v>
      </c>
      <c r="B234" s="69" t="s">
        <v>452</v>
      </c>
      <c r="C234" s="19" t="s">
        <v>197</v>
      </c>
      <c r="D234" s="40">
        <v>501</v>
      </c>
      <c r="E234" s="42" t="s">
        <v>434</v>
      </c>
      <c r="F234" s="42" t="s">
        <v>451</v>
      </c>
      <c r="G234" s="42" t="s">
        <v>312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/>
      <c r="T234" s="45"/>
      <c r="V234" s="61"/>
    </row>
    <row r="235" spans="1:22" ht="114" customHeight="1">
      <c r="A235" s="52" t="s">
        <v>432</v>
      </c>
      <c r="B235" s="69" t="s">
        <v>453</v>
      </c>
      <c r="C235" s="19" t="s">
        <v>197</v>
      </c>
      <c r="D235" s="40">
        <v>501</v>
      </c>
      <c r="E235" s="42" t="s">
        <v>434</v>
      </c>
      <c r="F235" s="42" t="s">
        <v>451</v>
      </c>
      <c r="G235" s="42" t="s">
        <v>312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/>
      <c r="T235" s="45"/>
      <c r="V235" s="61"/>
    </row>
    <row r="236" spans="1:20" ht="120">
      <c r="A236" s="52" t="s">
        <v>442</v>
      </c>
      <c r="B236" s="69" t="s">
        <v>454</v>
      </c>
      <c r="C236" s="19" t="s">
        <v>197</v>
      </c>
      <c r="D236" s="40">
        <v>501</v>
      </c>
      <c r="E236" s="42" t="s">
        <v>434</v>
      </c>
      <c r="F236" s="42" t="s">
        <v>451</v>
      </c>
      <c r="G236" s="42" t="s">
        <v>312</v>
      </c>
      <c r="H236" s="45">
        <v>0</v>
      </c>
      <c r="I236" s="45">
        <v>0</v>
      </c>
      <c r="J236" s="45">
        <f>J237</f>
        <v>0</v>
      </c>
      <c r="K236" s="45">
        <v>0</v>
      </c>
      <c r="L236" s="45">
        <f>L237</f>
        <v>0</v>
      </c>
      <c r="M236" s="45">
        <f>M237</f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f>R237</f>
        <v>0</v>
      </c>
      <c r="S236" s="45"/>
      <c r="T236" s="45"/>
    </row>
    <row r="237" spans="1:20" s="62" customFormat="1" ht="15.75">
      <c r="A237" s="154" t="s">
        <v>455</v>
      </c>
      <c r="B237" s="181" t="s">
        <v>456</v>
      </c>
      <c r="C237" s="157" t="s">
        <v>197</v>
      </c>
      <c r="D237" s="186">
        <v>501</v>
      </c>
      <c r="E237" s="189" t="s">
        <v>434</v>
      </c>
      <c r="F237" s="189" t="s">
        <v>457</v>
      </c>
      <c r="G237" s="189" t="s">
        <v>315</v>
      </c>
      <c r="H237" s="190">
        <f>1221534.18/1000</f>
        <v>1221.5341799999999</v>
      </c>
      <c r="I237" s="190">
        <f>H237</f>
        <v>1221.5341799999999</v>
      </c>
      <c r="J237" s="190">
        <v>0</v>
      </c>
      <c r="K237" s="190">
        <v>0</v>
      </c>
      <c r="L237" s="190">
        <v>0</v>
      </c>
      <c r="M237" s="190">
        <f>K237</f>
        <v>0</v>
      </c>
      <c r="N237" s="190">
        <v>0</v>
      </c>
      <c r="O237" s="190">
        <f>M237</f>
        <v>0</v>
      </c>
      <c r="P237" s="190">
        <v>0</v>
      </c>
      <c r="Q237" s="190">
        <f>K237</f>
        <v>0</v>
      </c>
      <c r="R237" s="190">
        <v>0</v>
      </c>
      <c r="S237" s="190"/>
      <c r="T237" s="191"/>
    </row>
    <row r="238" spans="1:20" ht="15.75">
      <c r="A238" s="154"/>
      <c r="B238" s="181"/>
      <c r="C238" s="157"/>
      <c r="D238" s="186"/>
      <c r="E238" s="189"/>
      <c r="F238" s="189"/>
      <c r="G238" s="189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1"/>
    </row>
    <row r="239" spans="1:20" ht="55.5" customHeight="1">
      <c r="A239" s="154"/>
      <c r="B239" s="181"/>
      <c r="C239" s="157"/>
      <c r="D239" s="186"/>
      <c r="E239" s="189"/>
      <c r="F239" s="189"/>
      <c r="G239" s="189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1"/>
    </row>
    <row r="240" spans="1:20" ht="49.5" customHeight="1">
      <c r="A240" s="52" t="s">
        <v>341</v>
      </c>
      <c r="B240" s="69" t="s">
        <v>458</v>
      </c>
      <c r="C240" s="19" t="s">
        <v>197</v>
      </c>
      <c r="D240" s="40">
        <v>501</v>
      </c>
      <c r="E240" s="42" t="s">
        <v>434</v>
      </c>
      <c r="F240" s="42" t="s">
        <v>457</v>
      </c>
      <c r="G240" s="42" t="s">
        <v>315</v>
      </c>
      <c r="H240" s="45">
        <f>1133163.47/1000</f>
        <v>1133.16347</v>
      </c>
      <c r="I240" s="45">
        <f>1133163.47/1000</f>
        <v>1133.16347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/>
      <c r="T240" s="45"/>
    </row>
    <row r="241" spans="1:20" ht="51" customHeight="1">
      <c r="A241" s="187" t="s">
        <v>459</v>
      </c>
      <c r="B241" s="147" t="s">
        <v>683</v>
      </c>
      <c r="C241" s="19" t="s">
        <v>28</v>
      </c>
      <c r="D241" s="40">
        <v>501</v>
      </c>
      <c r="E241" s="42" t="s">
        <v>423</v>
      </c>
      <c r="F241" s="42" t="s">
        <v>460</v>
      </c>
      <c r="G241" s="42" t="s">
        <v>305</v>
      </c>
      <c r="H241" s="47">
        <f>H243</f>
        <v>0</v>
      </c>
      <c r="I241" s="47">
        <v>0</v>
      </c>
      <c r="J241" s="47">
        <v>0</v>
      </c>
      <c r="K241" s="47">
        <v>0</v>
      </c>
      <c r="L241" s="47">
        <f aca="true" t="shared" si="49" ref="L241:Q241">L243</f>
        <v>0</v>
      </c>
      <c r="M241" s="47">
        <f t="shared" si="49"/>
        <v>0</v>
      </c>
      <c r="N241" s="47">
        <f t="shared" si="49"/>
        <v>0</v>
      </c>
      <c r="O241" s="47">
        <f t="shared" si="49"/>
        <v>0</v>
      </c>
      <c r="P241" s="47">
        <f>P243</f>
        <v>31.32</v>
      </c>
      <c r="Q241" s="47">
        <f t="shared" si="49"/>
        <v>31.32</v>
      </c>
      <c r="R241" s="47">
        <v>0</v>
      </c>
      <c r="S241" s="45"/>
      <c r="T241" s="53"/>
    </row>
    <row r="242" spans="1:20" ht="15.75">
      <c r="A242" s="187"/>
      <c r="B242" s="147"/>
      <c r="C242" s="19" t="s">
        <v>56</v>
      </c>
      <c r="D242" s="40"/>
      <c r="E242" s="42"/>
      <c r="F242" s="42"/>
      <c r="G242" s="42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53"/>
    </row>
    <row r="243" spans="1:20" ht="75" customHeight="1">
      <c r="A243" s="187"/>
      <c r="B243" s="147"/>
      <c r="C243" s="19" t="s">
        <v>197</v>
      </c>
      <c r="D243" s="40">
        <v>501</v>
      </c>
      <c r="E243" s="42" t="s">
        <v>423</v>
      </c>
      <c r="F243" s="42" t="s">
        <v>460</v>
      </c>
      <c r="G243" s="42" t="s">
        <v>305</v>
      </c>
      <c r="H243" s="45">
        <v>0</v>
      </c>
      <c r="I243" s="45">
        <v>0</v>
      </c>
      <c r="J243" s="45">
        <f>J244+J247</f>
        <v>0</v>
      </c>
      <c r="K243" s="45">
        <f>K244+K247</f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f>31320/1000</f>
        <v>31.32</v>
      </c>
      <c r="Q243" s="45">
        <f>31320/1000</f>
        <v>31.32</v>
      </c>
      <c r="R243" s="45">
        <f>R244+R247</f>
        <v>0</v>
      </c>
      <c r="S243" s="45"/>
      <c r="T243" s="53"/>
    </row>
    <row r="244" spans="1:20" ht="128.25" customHeight="1">
      <c r="A244" s="52" t="s">
        <v>449</v>
      </c>
      <c r="B244" s="69" t="s">
        <v>461</v>
      </c>
      <c r="C244" s="19" t="s">
        <v>197</v>
      </c>
      <c r="D244" s="40">
        <v>501</v>
      </c>
      <c r="E244" s="42" t="s">
        <v>423</v>
      </c>
      <c r="F244" s="42" t="s">
        <v>462</v>
      </c>
      <c r="G244" s="42" t="s">
        <v>312</v>
      </c>
      <c r="H244" s="45">
        <f>H245+H246</f>
        <v>0</v>
      </c>
      <c r="I244" s="45">
        <f>I245+I246</f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f>P245+P246</f>
        <v>0</v>
      </c>
      <c r="Q244" s="45">
        <f>Q245+Q246</f>
        <v>0</v>
      </c>
      <c r="R244" s="45">
        <v>0</v>
      </c>
      <c r="S244" s="45"/>
      <c r="T244" s="53"/>
    </row>
    <row r="245" spans="1:20" ht="186" customHeight="1">
      <c r="A245" s="52" t="s">
        <v>430</v>
      </c>
      <c r="B245" s="69" t="s">
        <v>463</v>
      </c>
      <c r="C245" s="19" t="s">
        <v>197</v>
      </c>
      <c r="D245" s="40">
        <v>501</v>
      </c>
      <c r="E245" s="42" t="s">
        <v>423</v>
      </c>
      <c r="F245" s="42" t="s">
        <v>462</v>
      </c>
      <c r="G245" s="42" t="s">
        <v>312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/>
      <c r="T245" s="112"/>
    </row>
    <row r="246" spans="1:20" ht="177" customHeight="1">
      <c r="A246" s="52" t="s">
        <v>432</v>
      </c>
      <c r="B246" s="69" t="s">
        <v>464</v>
      </c>
      <c r="C246" s="19" t="s">
        <v>197</v>
      </c>
      <c r="D246" s="40">
        <v>501</v>
      </c>
      <c r="E246" s="42" t="s">
        <v>423</v>
      </c>
      <c r="F246" s="42" t="s">
        <v>462</v>
      </c>
      <c r="G246" s="42" t="s">
        <v>312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/>
      <c r="T246" s="45"/>
    </row>
    <row r="247" spans="1:20" ht="144" customHeight="1">
      <c r="A247" s="52" t="s">
        <v>313</v>
      </c>
      <c r="B247" s="69" t="s">
        <v>465</v>
      </c>
      <c r="C247" s="19" t="s">
        <v>197</v>
      </c>
      <c r="D247" s="40">
        <v>501</v>
      </c>
      <c r="E247" s="42" t="s">
        <v>423</v>
      </c>
      <c r="F247" s="42" t="s">
        <v>466</v>
      </c>
      <c r="G247" s="42" t="s">
        <v>315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f>22740+8580</f>
        <v>31320</v>
      </c>
      <c r="R247" s="45">
        <v>0</v>
      </c>
      <c r="S247" s="45"/>
      <c r="T247" s="53"/>
    </row>
    <row r="248" spans="1:20" ht="28.5" customHeight="1">
      <c r="A248" s="187" t="s">
        <v>467</v>
      </c>
      <c r="B248" s="147" t="s">
        <v>684</v>
      </c>
      <c r="C248" s="19" t="s">
        <v>28</v>
      </c>
      <c r="D248" s="40">
        <v>501</v>
      </c>
      <c r="E248" s="42" t="s">
        <v>423</v>
      </c>
      <c r="F248" s="42" t="s">
        <v>468</v>
      </c>
      <c r="G248" s="42" t="s">
        <v>305</v>
      </c>
      <c r="H248" s="45">
        <f>H250</f>
        <v>0</v>
      </c>
      <c r="I248" s="45">
        <f>I250</f>
        <v>0</v>
      </c>
      <c r="J248" s="45">
        <f aca="true" t="shared" si="50" ref="J248:R248">J250</f>
        <v>0</v>
      </c>
      <c r="K248" s="45">
        <f t="shared" si="50"/>
        <v>0</v>
      </c>
      <c r="L248" s="45">
        <f t="shared" si="50"/>
        <v>0</v>
      </c>
      <c r="M248" s="45">
        <f t="shared" si="50"/>
        <v>0</v>
      </c>
      <c r="N248" s="45">
        <f t="shared" si="50"/>
        <v>0</v>
      </c>
      <c r="O248" s="45">
        <f t="shared" si="50"/>
        <v>0</v>
      </c>
      <c r="P248" s="45">
        <f t="shared" si="50"/>
        <v>0</v>
      </c>
      <c r="Q248" s="45">
        <f t="shared" si="50"/>
        <v>0</v>
      </c>
      <c r="R248" s="45">
        <f t="shared" si="50"/>
        <v>0</v>
      </c>
      <c r="S248" s="45"/>
      <c r="T248" s="45"/>
    </row>
    <row r="249" spans="1:20" ht="15.75">
      <c r="A249" s="187"/>
      <c r="B249" s="147"/>
      <c r="C249" s="21" t="s">
        <v>56</v>
      </c>
      <c r="D249" s="40"/>
      <c r="E249" s="42"/>
      <c r="F249" s="40"/>
      <c r="G249" s="40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</row>
    <row r="250" spans="1:20" ht="25.5">
      <c r="A250" s="187"/>
      <c r="B250" s="147"/>
      <c r="C250" s="19" t="s">
        <v>197</v>
      </c>
      <c r="D250" s="40">
        <v>501</v>
      </c>
      <c r="E250" s="42" t="s">
        <v>434</v>
      </c>
      <c r="F250" s="42" t="s">
        <v>468</v>
      </c>
      <c r="G250" s="40" t="s">
        <v>305</v>
      </c>
      <c r="H250" s="45">
        <f aca="true" t="shared" si="51" ref="H250:R250">H251</f>
        <v>0</v>
      </c>
      <c r="I250" s="45">
        <f t="shared" si="51"/>
        <v>0</v>
      </c>
      <c r="J250" s="45">
        <f t="shared" si="51"/>
        <v>0</v>
      </c>
      <c r="K250" s="45">
        <f t="shared" si="51"/>
        <v>0</v>
      </c>
      <c r="L250" s="45">
        <f t="shared" si="51"/>
        <v>0</v>
      </c>
      <c r="M250" s="45">
        <f t="shared" si="51"/>
        <v>0</v>
      </c>
      <c r="N250" s="45">
        <f t="shared" si="51"/>
        <v>0</v>
      </c>
      <c r="O250" s="45">
        <f t="shared" si="51"/>
        <v>0</v>
      </c>
      <c r="P250" s="45">
        <f t="shared" si="51"/>
        <v>0</v>
      </c>
      <c r="Q250" s="45">
        <f t="shared" si="51"/>
        <v>0</v>
      </c>
      <c r="R250" s="45">
        <f t="shared" si="51"/>
        <v>0</v>
      </c>
      <c r="S250" s="45"/>
      <c r="T250" s="45"/>
    </row>
    <row r="251" spans="1:20" ht="43.5" customHeight="1">
      <c r="A251" s="52" t="s">
        <v>449</v>
      </c>
      <c r="B251" s="69" t="s">
        <v>469</v>
      </c>
      <c r="C251" s="19" t="s">
        <v>197</v>
      </c>
      <c r="D251" s="40">
        <v>501</v>
      </c>
      <c r="E251" s="42" t="s">
        <v>434</v>
      </c>
      <c r="F251" s="42" t="s">
        <v>470</v>
      </c>
      <c r="G251" s="40">
        <v>240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/>
      <c r="T251" s="45"/>
    </row>
    <row r="252" spans="1:20" ht="15.75">
      <c r="A252" s="161" t="s">
        <v>471</v>
      </c>
      <c r="B252" s="147" t="s">
        <v>625</v>
      </c>
      <c r="C252" s="19" t="s">
        <v>28</v>
      </c>
      <c r="D252" s="40">
        <v>501</v>
      </c>
      <c r="E252" s="42" t="s">
        <v>434</v>
      </c>
      <c r="F252" s="42" t="s">
        <v>472</v>
      </c>
      <c r="G252" s="42" t="s">
        <v>305</v>
      </c>
      <c r="H252" s="47">
        <f>H254</f>
        <v>10402.72</v>
      </c>
      <c r="I252" s="47">
        <f>I254</f>
        <v>3517.744</v>
      </c>
      <c r="J252" s="47">
        <f aca="true" t="shared" si="52" ref="J252:O252">J254</f>
        <v>0</v>
      </c>
      <c r="K252" s="47">
        <f t="shared" si="52"/>
        <v>0</v>
      </c>
      <c r="L252" s="47">
        <f t="shared" si="52"/>
        <v>0</v>
      </c>
      <c r="M252" s="47">
        <f t="shared" si="52"/>
        <v>0</v>
      </c>
      <c r="N252" s="47">
        <v>0</v>
      </c>
      <c r="O252" s="47">
        <f t="shared" si="52"/>
        <v>0</v>
      </c>
      <c r="P252" s="47">
        <f>P254</f>
        <v>6970.256</v>
      </c>
      <c r="Q252" s="47">
        <f>Q254</f>
        <v>198</v>
      </c>
      <c r="R252" s="47">
        <f>R254</f>
        <v>411.47422</v>
      </c>
      <c r="S252" s="45"/>
      <c r="T252" s="45"/>
    </row>
    <row r="253" spans="1:20" ht="15.75">
      <c r="A253" s="161"/>
      <c r="B253" s="147"/>
      <c r="C253" s="19" t="s">
        <v>56</v>
      </c>
      <c r="D253" s="40"/>
      <c r="E253" s="42"/>
      <c r="F253" s="42"/>
      <c r="G253" s="42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</row>
    <row r="254" spans="1:20" ht="25.5">
      <c r="A254" s="161"/>
      <c r="B254" s="147"/>
      <c r="C254" s="19" t="s">
        <v>197</v>
      </c>
      <c r="D254" s="40">
        <v>501</v>
      </c>
      <c r="E254" s="42" t="s">
        <v>434</v>
      </c>
      <c r="F254" s="42" t="s">
        <v>472</v>
      </c>
      <c r="G254" s="42" t="s">
        <v>305</v>
      </c>
      <c r="H254" s="45">
        <f>H261+H262</f>
        <v>10402.72</v>
      </c>
      <c r="I254" s="45">
        <f>I261+I262</f>
        <v>3517.744</v>
      </c>
      <c r="J254" s="45">
        <f aca="true" t="shared" si="53" ref="J254:O254">J255+J256+J257+J258</f>
        <v>0</v>
      </c>
      <c r="K254" s="45">
        <f t="shared" si="53"/>
        <v>0</v>
      </c>
      <c r="L254" s="45">
        <f t="shared" si="53"/>
        <v>0</v>
      </c>
      <c r="M254" s="45">
        <f t="shared" si="53"/>
        <v>0</v>
      </c>
      <c r="N254" s="45">
        <v>0</v>
      </c>
      <c r="O254" s="45">
        <f t="shared" si="53"/>
        <v>0</v>
      </c>
      <c r="P254" s="45">
        <f>P262+P263</f>
        <v>6970.256</v>
      </c>
      <c r="Q254" s="45">
        <f>Q262+Q263</f>
        <v>198</v>
      </c>
      <c r="R254" s="45">
        <f>R259+R260</f>
        <v>411.47422</v>
      </c>
      <c r="S254" s="45"/>
      <c r="T254" s="45"/>
    </row>
    <row r="255" spans="1:20" ht="45" customHeight="1">
      <c r="A255" s="41" t="s">
        <v>172</v>
      </c>
      <c r="B255" s="69" t="s">
        <v>409</v>
      </c>
      <c r="C255" s="19" t="s">
        <v>197</v>
      </c>
      <c r="D255" s="40">
        <v>501</v>
      </c>
      <c r="E255" s="42" t="s">
        <v>423</v>
      </c>
      <c r="F255" s="42" t="s">
        <v>473</v>
      </c>
      <c r="G255" s="42" t="s">
        <v>315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/>
      <c r="T255" s="53"/>
    </row>
    <row r="256" spans="1:20" ht="60">
      <c r="A256" s="41" t="s">
        <v>313</v>
      </c>
      <c r="B256" s="69" t="s">
        <v>474</v>
      </c>
      <c r="C256" s="19" t="s">
        <v>197</v>
      </c>
      <c r="D256" s="40">
        <v>501</v>
      </c>
      <c r="E256" s="42" t="s">
        <v>423</v>
      </c>
      <c r="F256" s="42" t="s">
        <v>475</v>
      </c>
      <c r="G256" s="42" t="s">
        <v>315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/>
      <c r="T256" s="53"/>
    </row>
    <row r="257" spans="1:20" ht="65.25" customHeight="1">
      <c r="A257" s="41" t="s">
        <v>341</v>
      </c>
      <c r="B257" s="69" t="s">
        <v>476</v>
      </c>
      <c r="C257" s="19" t="s">
        <v>197</v>
      </c>
      <c r="D257" s="40">
        <v>501</v>
      </c>
      <c r="E257" s="42" t="s">
        <v>423</v>
      </c>
      <c r="F257" s="42" t="s">
        <v>477</v>
      </c>
      <c r="G257" s="42" t="s">
        <v>315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/>
      <c r="T257" s="53"/>
    </row>
    <row r="258" spans="1:20" ht="62.25" customHeight="1">
      <c r="A258" s="41" t="s">
        <v>344</v>
      </c>
      <c r="B258" s="69" t="s">
        <v>476</v>
      </c>
      <c r="C258" s="19" t="s">
        <v>197</v>
      </c>
      <c r="D258" s="40">
        <v>501</v>
      </c>
      <c r="E258" s="42" t="s">
        <v>423</v>
      </c>
      <c r="F258" s="42" t="s">
        <v>477</v>
      </c>
      <c r="G258" s="42" t="s">
        <v>478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/>
      <c r="T258" s="53"/>
    </row>
    <row r="259" spans="1:20" ht="51.75" customHeight="1">
      <c r="A259" s="41" t="s">
        <v>347</v>
      </c>
      <c r="B259" s="69" t="s">
        <v>479</v>
      </c>
      <c r="C259" s="19" t="s">
        <v>626</v>
      </c>
      <c r="D259" s="40">
        <v>585</v>
      </c>
      <c r="E259" s="42" t="s">
        <v>434</v>
      </c>
      <c r="F259" s="42" t="s">
        <v>627</v>
      </c>
      <c r="G259" s="42" t="s">
        <v>628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f>95684.22/1000</f>
        <v>95.68422</v>
      </c>
      <c r="S259" s="45"/>
      <c r="T259" s="53"/>
    </row>
    <row r="260" spans="1:20" ht="54" customHeight="1">
      <c r="A260" s="41" t="s">
        <v>349</v>
      </c>
      <c r="B260" s="69" t="s">
        <v>480</v>
      </c>
      <c r="C260" s="19" t="s">
        <v>626</v>
      </c>
      <c r="D260" s="40">
        <v>585</v>
      </c>
      <c r="E260" s="42" t="s">
        <v>434</v>
      </c>
      <c r="F260" s="42" t="s">
        <v>629</v>
      </c>
      <c r="G260" s="42" t="s">
        <v>628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f>315790/1000</f>
        <v>315.79</v>
      </c>
      <c r="S260" s="45"/>
      <c r="T260" s="53"/>
    </row>
    <row r="261" spans="1:22" ht="92.25" customHeight="1">
      <c r="A261" s="41" t="s">
        <v>481</v>
      </c>
      <c r="B261" s="69" t="s">
        <v>482</v>
      </c>
      <c r="C261" s="19" t="s">
        <v>197</v>
      </c>
      <c r="D261" s="40">
        <v>501</v>
      </c>
      <c r="E261" s="42" t="s">
        <v>434</v>
      </c>
      <c r="F261" s="42" t="s">
        <v>483</v>
      </c>
      <c r="G261" s="40">
        <v>240</v>
      </c>
      <c r="H261" s="45">
        <f>3517744/1000</f>
        <v>3517.744</v>
      </c>
      <c r="I261" s="45">
        <f>3517744/1000</f>
        <v>3517.744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/>
      <c r="T261" s="53"/>
      <c r="V261" s="63"/>
    </row>
    <row r="262" spans="1:22" ht="166.5" customHeight="1">
      <c r="A262" s="41" t="s">
        <v>484</v>
      </c>
      <c r="B262" s="69" t="s">
        <v>485</v>
      </c>
      <c r="C262" s="19" t="s">
        <v>197</v>
      </c>
      <c r="D262" s="40">
        <v>501</v>
      </c>
      <c r="E262" s="42" t="s">
        <v>434</v>
      </c>
      <c r="F262" s="42" t="s">
        <v>475</v>
      </c>
      <c r="G262" s="40">
        <v>240</v>
      </c>
      <c r="H262" s="45">
        <f>6884976/1000</f>
        <v>6884.976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f>6772256/1000</f>
        <v>6772.256</v>
      </c>
      <c r="Q262" s="45">
        <v>0</v>
      </c>
      <c r="R262" s="45">
        <v>0</v>
      </c>
      <c r="S262" s="45"/>
      <c r="T262" s="53"/>
      <c r="V262" s="63"/>
    </row>
    <row r="263" spans="1:22" ht="104.25" customHeight="1">
      <c r="A263" s="41" t="s">
        <v>630</v>
      </c>
      <c r="B263" s="69" t="s">
        <v>631</v>
      </c>
      <c r="C263" s="19" t="s">
        <v>197</v>
      </c>
      <c r="D263" s="40">
        <v>502</v>
      </c>
      <c r="E263" s="42" t="s">
        <v>434</v>
      </c>
      <c r="F263" s="42" t="s">
        <v>477</v>
      </c>
      <c r="G263" s="40">
        <v>240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f>198000/1000</f>
        <v>198</v>
      </c>
      <c r="Q263" s="45">
        <f>198000/1000</f>
        <v>198</v>
      </c>
      <c r="R263" s="45">
        <v>0</v>
      </c>
      <c r="S263" s="45"/>
      <c r="T263" s="53"/>
      <c r="V263" s="63"/>
    </row>
    <row r="264" spans="1:20" ht="15.75">
      <c r="A264" s="161" t="s">
        <v>486</v>
      </c>
      <c r="B264" s="147" t="s">
        <v>487</v>
      </c>
      <c r="C264" s="19" t="s">
        <v>28</v>
      </c>
      <c r="D264" s="40">
        <v>501</v>
      </c>
      <c r="E264" s="42" t="s">
        <v>423</v>
      </c>
      <c r="F264" s="42" t="s">
        <v>488</v>
      </c>
      <c r="G264" s="40" t="s">
        <v>305</v>
      </c>
      <c r="H264" s="45">
        <f>H266</f>
        <v>0</v>
      </c>
      <c r="I264" s="45">
        <f>I266</f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f>P266</f>
        <v>0</v>
      </c>
      <c r="Q264" s="45">
        <f>Q266</f>
        <v>0</v>
      </c>
      <c r="R264" s="45">
        <v>0</v>
      </c>
      <c r="S264" s="45"/>
      <c r="T264" s="53"/>
    </row>
    <row r="265" spans="1:20" ht="15.75">
      <c r="A265" s="161"/>
      <c r="B265" s="147"/>
      <c r="C265" s="19" t="s">
        <v>56</v>
      </c>
      <c r="D265" s="40"/>
      <c r="E265" s="42"/>
      <c r="F265" s="42"/>
      <c r="G265" s="40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53"/>
    </row>
    <row r="266" spans="1:20" ht="126" customHeight="1">
      <c r="A266" s="161"/>
      <c r="B266" s="147"/>
      <c r="C266" s="19" t="s">
        <v>197</v>
      </c>
      <c r="D266" s="40">
        <v>501</v>
      </c>
      <c r="E266" s="42" t="s">
        <v>423</v>
      </c>
      <c r="F266" s="42" t="s">
        <v>489</v>
      </c>
      <c r="G266" s="40" t="s">
        <v>305</v>
      </c>
      <c r="H266" s="45">
        <f>H267</f>
        <v>0</v>
      </c>
      <c r="I266" s="45">
        <f>I267</f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f>P267</f>
        <v>0</v>
      </c>
      <c r="Q266" s="45">
        <f>Q267</f>
        <v>0</v>
      </c>
      <c r="R266" s="45">
        <v>0</v>
      </c>
      <c r="S266" s="45"/>
      <c r="T266" s="53"/>
    </row>
    <row r="267" spans="1:22" ht="122.25" customHeight="1">
      <c r="A267" s="41" t="s">
        <v>449</v>
      </c>
      <c r="B267" s="69" t="s">
        <v>490</v>
      </c>
      <c r="C267" s="19" t="s">
        <v>197</v>
      </c>
      <c r="D267" s="40">
        <v>501</v>
      </c>
      <c r="E267" s="42" t="s">
        <v>423</v>
      </c>
      <c r="F267" s="42" t="s">
        <v>491</v>
      </c>
      <c r="G267" s="40">
        <v>810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/>
      <c r="T267" s="53"/>
      <c r="V267" s="63"/>
    </row>
    <row r="268" spans="1:20" s="57" customFormat="1" ht="30" customHeight="1">
      <c r="A268" s="161" t="s">
        <v>735</v>
      </c>
      <c r="B268" s="147" t="s">
        <v>685</v>
      </c>
      <c r="C268" s="26" t="s">
        <v>506</v>
      </c>
      <c r="D268" s="48" t="s">
        <v>305</v>
      </c>
      <c r="E268" s="48" t="s">
        <v>305</v>
      </c>
      <c r="F268" s="48" t="s">
        <v>305</v>
      </c>
      <c r="G268" s="48" t="s">
        <v>305</v>
      </c>
      <c r="H268" s="47">
        <f>H269</f>
        <v>20</v>
      </c>
      <c r="I268" s="47">
        <f>I269</f>
        <v>20</v>
      </c>
      <c r="J268" s="47">
        <f aca="true" t="shared" si="54" ref="J268:S268">J271</f>
        <v>0</v>
      </c>
      <c r="K268" s="47">
        <f t="shared" si="54"/>
        <v>0</v>
      </c>
      <c r="L268" s="47">
        <f t="shared" si="54"/>
        <v>0</v>
      </c>
      <c r="M268" s="47">
        <f t="shared" si="54"/>
        <v>0</v>
      </c>
      <c r="N268" s="47">
        <f t="shared" si="54"/>
        <v>20</v>
      </c>
      <c r="O268" s="47">
        <f t="shared" si="54"/>
        <v>20</v>
      </c>
      <c r="P268" s="47">
        <f t="shared" si="54"/>
        <v>20</v>
      </c>
      <c r="Q268" s="47">
        <f t="shared" si="54"/>
        <v>20</v>
      </c>
      <c r="R268" s="47">
        <f t="shared" si="54"/>
        <v>0</v>
      </c>
      <c r="S268" s="47">
        <f t="shared" si="54"/>
        <v>0</v>
      </c>
      <c r="T268" s="47"/>
    </row>
    <row r="269" spans="1:20" ht="25.5">
      <c r="A269" s="161"/>
      <c r="B269" s="147"/>
      <c r="C269" s="19" t="s">
        <v>197</v>
      </c>
      <c r="D269" s="40">
        <v>501</v>
      </c>
      <c r="E269" s="40">
        <v>314</v>
      </c>
      <c r="F269" s="40">
        <v>800018010</v>
      </c>
      <c r="G269" s="40">
        <v>244</v>
      </c>
      <c r="H269" s="45">
        <f>H272</f>
        <v>20</v>
      </c>
      <c r="I269" s="45">
        <f>I272</f>
        <v>20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/>
    </row>
    <row r="270" spans="1:20" ht="25.5">
      <c r="A270" s="161"/>
      <c r="B270" s="147"/>
      <c r="C270" s="19" t="s">
        <v>507</v>
      </c>
      <c r="D270" s="40">
        <v>557</v>
      </c>
      <c r="E270" s="40">
        <v>707</v>
      </c>
      <c r="F270" s="40">
        <v>800018010</v>
      </c>
      <c r="G270" s="40">
        <v>244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/>
    </row>
    <row r="271" spans="1:20" ht="25.5">
      <c r="A271" s="161"/>
      <c r="B271" s="147"/>
      <c r="C271" s="19" t="s">
        <v>507</v>
      </c>
      <c r="D271" s="40">
        <v>557</v>
      </c>
      <c r="E271" s="40">
        <v>801</v>
      </c>
      <c r="F271" s="40">
        <v>800018010</v>
      </c>
      <c r="G271" s="40">
        <v>244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f>N272</f>
        <v>20</v>
      </c>
      <c r="O271" s="45">
        <f>O272</f>
        <v>20</v>
      </c>
      <c r="P271" s="45">
        <f>P272</f>
        <v>20</v>
      </c>
      <c r="Q271" s="45">
        <f>Q272</f>
        <v>20</v>
      </c>
      <c r="R271" s="45">
        <v>0</v>
      </c>
      <c r="S271" s="45">
        <v>0</v>
      </c>
      <c r="T271" s="45"/>
    </row>
    <row r="272" spans="1:20" ht="107.25" customHeight="1">
      <c r="A272" s="159" t="s">
        <v>508</v>
      </c>
      <c r="B272" s="69" t="s">
        <v>509</v>
      </c>
      <c r="C272" s="19" t="s">
        <v>510</v>
      </c>
      <c r="D272" s="40" t="s">
        <v>305</v>
      </c>
      <c r="E272" s="40" t="s">
        <v>305</v>
      </c>
      <c r="F272" s="40" t="s">
        <v>305</v>
      </c>
      <c r="G272" s="40" t="s">
        <v>305</v>
      </c>
      <c r="H272" s="45">
        <f>H273+H274+H276</f>
        <v>20</v>
      </c>
      <c r="I272" s="45">
        <f aca="true" t="shared" si="55" ref="I272:Q272">I273+I274+I276</f>
        <v>20</v>
      </c>
      <c r="J272" s="45">
        <f t="shared" si="55"/>
        <v>0</v>
      </c>
      <c r="K272" s="45">
        <f t="shared" si="55"/>
        <v>0</v>
      </c>
      <c r="L272" s="45">
        <f t="shared" si="55"/>
        <v>0</v>
      </c>
      <c r="M272" s="45">
        <f t="shared" si="55"/>
        <v>0</v>
      </c>
      <c r="N272" s="45">
        <f t="shared" si="55"/>
        <v>20</v>
      </c>
      <c r="O272" s="45">
        <f t="shared" si="55"/>
        <v>20</v>
      </c>
      <c r="P272" s="45">
        <f t="shared" si="55"/>
        <v>20</v>
      </c>
      <c r="Q272" s="45">
        <f t="shared" si="55"/>
        <v>20</v>
      </c>
      <c r="R272" s="45">
        <f>R273+R275+R276</f>
        <v>20</v>
      </c>
      <c r="S272" s="45">
        <f>S273+S275+S277</f>
        <v>20</v>
      </c>
      <c r="T272" s="45"/>
    </row>
    <row r="273" spans="1:20" ht="63.75" customHeight="1">
      <c r="A273" s="159"/>
      <c r="B273" s="69" t="s">
        <v>511</v>
      </c>
      <c r="C273" s="19" t="s">
        <v>197</v>
      </c>
      <c r="D273" s="40">
        <v>501</v>
      </c>
      <c r="E273" s="40">
        <v>314</v>
      </c>
      <c r="F273" s="40">
        <v>800018010</v>
      </c>
      <c r="G273" s="40">
        <v>244</v>
      </c>
      <c r="H273" s="45">
        <f>20000/1000</f>
        <v>20</v>
      </c>
      <c r="I273" s="45">
        <f>20000/1000</f>
        <v>20</v>
      </c>
      <c r="J273" s="45">
        <v>0</v>
      </c>
      <c r="K273" s="45">
        <v>0</v>
      </c>
      <c r="L273" s="45">
        <v>0</v>
      </c>
      <c r="M273" s="45">
        <v>0</v>
      </c>
      <c r="N273" s="45">
        <f>20000/1000</f>
        <v>20</v>
      </c>
      <c r="O273" s="45">
        <f>20000/1000</f>
        <v>20</v>
      </c>
      <c r="P273" s="45">
        <f>20000/1000</f>
        <v>20</v>
      </c>
      <c r="Q273" s="45">
        <f>20000/1000</f>
        <v>20</v>
      </c>
      <c r="R273" s="45">
        <v>0</v>
      </c>
      <c r="S273" s="45">
        <v>0</v>
      </c>
      <c r="T273" s="45"/>
    </row>
    <row r="274" spans="1:20" ht="21" customHeight="1">
      <c r="A274" s="159"/>
      <c r="B274" s="181" t="s">
        <v>512</v>
      </c>
      <c r="C274" s="19" t="s">
        <v>510</v>
      </c>
      <c r="D274" s="40" t="s">
        <v>305</v>
      </c>
      <c r="E274" s="40" t="s">
        <v>305</v>
      </c>
      <c r="F274" s="40" t="s">
        <v>305</v>
      </c>
      <c r="G274" s="40" t="s">
        <v>305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</row>
    <row r="275" spans="1:20" ht="56.25" customHeight="1">
      <c r="A275" s="159"/>
      <c r="B275" s="181"/>
      <c r="C275" s="19" t="s">
        <v>507</v>
      </c>
      <c r="D275" s="40">
        <v>557</v>
      </c>
      <c r="E275" s="40">
        <v>707</v>
      </c>
      <c r="F275" s="40">
        <v>800018010</v>
      </c>
      <c r="G275" s="40">
        <v>244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f>20000/1000</f>
        <v>20</v>
      </c>
      <c r="S275" s="45">
        <v>0</v>
      </c>
      <c r="T275" s="45"/>
    </row>
    <row r="276" spans="1:20" ht="27" customHeight="1">
      <c r="A276" s="159"/>
      <c r="B276" s="181" t="s">
        <v>495</v>
      </c>
      <c r="C276" s="19" t="s">
        <v>510</v>
      </c>
      <c r="D276" s="40" t="s">
        <v>305</v>
      </c>
      <c r="E276" s="40" t="s">
        <v>305</v>
      </c>
      <c r="F276" s="40" t="s">
        <v>305</v>
      </c>
      <c r="G276" s="40" t="s">
        <v>305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</row>
    <row r="277" spans="1:20" ht="42" customHeight="1">
      <c r="A277" s="159"/>
      <c r="B277" s="181"/>
      <c r="C277" s="19" t="s">
        <v>507</v>
      </c>
      <c r="D277" s="40">
        <v>557</v>
      </c>
      <c r="E277" s="40">
        <v>801</v>
      </c>
      <c r="F277" s="40">
        <v>800018010</v>
      </c>
      <c r="G277" s="40">
        <v>244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f>20000/1000</f>
        <v>20</v>
      </c>
      <c r="T277" s="45"/>
    </row>
    <row r="278" spans="1:20" s="57" customFormat="1" ht="26.25" customHeight="1">
      <c r="A278" s="161" t="s">
        <v>736</v>
      </c>
      <c r="B278" s="147" t="s">
        <v>686</v>
      </c>
      <c r="C278" s="26" t="s">
        <v>506</v>
      </c>
      <c r="D278" s="48" t="s">
        <v>305</v>
      </c>
      <c r="E278" s="48" t="s">
        <v>305</v>
      </c>
      <c r="F278" s="48" t="s">
        <v>305</v>
      </c>
      <c r="G278" s="48" t="s">
        <v>305</v>
      </c>
      <c r="H278" s="47">
        <f>H279</f>
        <v>0</v>
      </c>
      <c r="I278" s="47">
        <f aca="true" t="shared" si="56" ref="I278:S278">I279</f>
        <v>0</v>
      </c>
      <c r="J278" s="47">
        <f t="shared" si="56"/>
        <v>0</v>
      </c>
      <c r="K278" s="47">
        <f t="shared" si="56"/>
        <v>0</v>
      </c>
      <c r="L278" s="47">
        <f t="shared" si="56"/>
        <v>0</v>
      </c>
      <c r="M278" s="47">
        <f t="shared" si="56"/>
        <v>0</v>
      </c>
      <c r="N278" s="47">
        <f t="shared" si="56"/>
        <v>0</v>
      </c>
      <c r="O278" s="47">
        <f t="shared" si="56"/>
        <v>0</v>
      </c>
      <c r="P278" s="47">
        <f t="shared" si="56"/>
        <v>0</v>
      </c>
      <c r="Q278" s="47">
        <f t="shared" si="56"/>
        <v>0</v>
      </c>
      <c r="R278" s="47">
        <f t="shared" si="56"/>
        <v>0</v>
      </c>
      <c r="S278" s="47">
        <f t="shared" si="56"/>
        <v>0</v>
      </c>
      <c r="T278" s="47"/>
    </row>
    <row r="279" spans="1:20" ht="37.5" customHeight="1">
      <c r="A279" s="161"/>
      <c r="B279" s="147"/>
      <c r="C279" s="19" t="s">
        <v>197</v>
      </c>
      <c r="D279" s="40">
        <v>501</v>
      </c>
      <c r="E279" s="40">
        <v>314</v>
      </c>
      <c r="F279" s="40">
        <v>800018010</v>
      </c>
      <c r="G279" s="40">
        <v>244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/>
    </row>
    <row r="280" spans="1:20" ht="60" customHeight="1">
      <c r="A280" s="161" t="s">
        <v>737</v>
      </c>
      <c r="B280" s="147" t="s">
        <v>687</v>
      </c>
      <c r="C280" s="19" t="s">
        <v>28</v>
      </c>
      <c r="D280" s="40" t="s">
        <v>196</v>
      </c>
      <c r="E280" s="40" t="s">
        <v>196</v>
      </c>
      <c r="F280" s="40" t="s">
        <v>196</v>
      </c>
      <c r="G280" s="40" t="s">
        <v>196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20</v>
      </c>
      <c r="Q280" s="47">
        <v>20</v>
      </c>
      <c r="R280" s="45">
        <v>20</v>
      </c>
      <c r="S280" s="45">
        <v>30</v>
      </c>
      <c r="T280" s="45"/>
    </row>
    <row r="281" spans="1:20" ht="46.5" customHeight="1">
      <c r="A281" s="161"/>
      <c r="B281" s="147"/>
      <c r="C281" s="19" t="s">
        <v>56</v>
      </c>
      <c r="D281" s="40" t="s">
        <v>196</v>
      </c>
      <c r="E281" s="40" t="s">
        <v>196</v>
      </c>
      <c r="F281" s="40" t="s">
        <v>196</v>
      </c>
      <c r="G281" s="40" t="s">
        <v>196</v>
      </c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</row>
    <row r="282" spans="1:20" ht="37.5" customHeight="1">
      <c r="A282" s="159" t="s">
        <v>599</v>
      </c>
      <c r="B282" s="181" t="s">
        <v>600</v>
      </c>
      <c r="C282" s="19" t="s">
        <v>28</v>
      </c>
      <c r="D282" s="40" t="s">
        <v>196</v>
      </c>
      <c r="E282" s="40" t="s">
        <v>196</v>
      </c>
      <c r="F282" s="40" t="s">
        <v>196</v>
      </c>
      <c r="G282" s="40" t="s">
        <v>196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  <c r="P282" s="45">
        <v>20</v>
      </c>
      <c r="Q282" s="45">
        <v>20</v>
      </c>
      <c r="R282" s="45">
        <v>0</v>
      </c>
      <c r="S282" s="45">
        <v>0</v>
      </c>
      <c r="T282" s="45"/>
    </row>
    <row r="283" spans="1:20" ht="13.5" customHeight="1">
      <c r="A283" s="159"/>
      <c r="B283" s="181"/>
      <c r="C283" s="19" t="s">
        <v>56</v>
      </c>
      <c r="D283" s="40" t="s">
        <v>196</v>
      </c>
      <c r="E283" s="40" t="s">
        <v>196</v>
      </c>
      <c r="F283" s="40" t="s">
        <v>196</v>
      </c>
      <c r="G283" s="40" t="s">
        <v>196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</row>
    <row r="284" spans="1:20" ht="57" customHeight="1">
      <c r="A284" s="159"/>
      <c r="B284" s="181"/>
      <c r="C284" s="19" t="str">
        <f>$C$28</f>
        <v>Отдел культуры, молодежной политики и спорта администрации сельского поселения Хатанга</v>
      </c>
      <c r="D284" s="40">
        <v>501</v>
      </c>
      <c r="E284" s="42" t="s">
        <v>198</v>
      </c>
      <c r="F284" s="42" t="s">
        <v>598</v>
      </c>
      <c r="G284" s="40">
        <v>810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20</v>
      </c>
      <c r="Q284" s="45">
        <v>20</v>
      </c>
      <c r="R284" s="45">
        <v>0</v>
      </c>
      <c r="S284" s="45">
        <v>0</v>
      </c>
      <c r="T284" s="45"/>
    </row>
    <row r="285" spans="1:20" ht="25.5" customHeight="1">
      <c r="A285" s="159"/>
      <c r="B285" s="181" t="s">
        <v>549</v>
      </c>
      <c r="C285" s="19" t="s">
        <v>28</v>
      </c>
      <c r="D285" s="40" t="s">
        <v>196</v>
      </c>
      <c r="E285" s="40" t="s">
        <v>196</v>
      </c>
      <c r="F285" s="40" t="s">
        <v>196</v>
      </c>
      <c r="G285" s="40" t="s">
        <v>196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20</v>
      </c>
      <c r="S285" s="45">
        <v>0</v>
      </c>
      <c r="T285" s="45"/>
    </row>
    <row r="286" spans="1:20" ht="15.75">
      <c r="A286" s="159"/>
      <c r="B286" s="181"/>
      <c r="C286" s="19" t="s">
        <v>56</v>
      </c>
      <c r="D286" s="40" t="s">
        <v>196</v>
      </c>
      <c r="E286" s="40" t="s">
        <v>196</v>
      </c>
      <c r="F286" s="40" t="s">
        <v>196</v>
      </c>
      <c r="G286" s="40" t="s">
        <v>196</v>
      </c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</row>
    <row r="287" spans="1:20" ht="53.25" customHeight="1">
      <c r="A287" s="159"/>
      <c r="B287" s="181"/>
      <c r="C287" s="19" t="str">
        <f>$C$28</f>
        <v>Отдел культуры, молодежной политики и спорта администрации сельского поселения Хатанга</v>
      </c>
      <c r="D287" s="40">
        <v>501</v>
      </c>
      <c r="E287" s="42" t="s">
        <v>198</v>
      </c>
      <c r="F287" s="42" t="s">
        <v>598</v>
      </c>
      <c r="G287" s="40">
        <v>810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20</v>
      </c>
      <c r="S287" s="45">
        <v>0</v>
      </c>
      <c r="T287" s="45"/>
    </row>
    <row r="288" spans="1:20" ht="15.75">
      <c r="A288" s="159"/>
      <c r="B288" s="181" t="s">
        <v>549</v>
      </c>
      <c r="C288" s="19" t="s">
        <v>28</v>
      </c>
      <c r="D288" s="40" t="s">
        <v>196</v>
      </c>
      <c r="E288" s="40" t="s">
        <v>196</v>
      </c>
      <c r="F288" s="40" t="s">
        <v>196</v>
      </c>
      <c r="G288" s="40" t="s">
        <v>196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30</v>
      </c>
      <c r="T288" s="45"/>
    </row>
    <row r="289" spans="1:20" ht="15.75">
      <c r="A289" s="159"/>
      <c r="B289" s="181"/>
      <c r="C289" s="19" t="s">
        <v>56</v>
      </c>
      <c r="D289" s="40" t="s">
        <v>196</v>
      </c>
      <c r="E289" s="40" t="s">
        <v>196</v>
      </c>
      <c r="F289" s="40" t="s">
        <v>196</v>
      </c>
      <c r="G289" s="40" t="s">
        <v>196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</row>
    <row r="290" spans="1:20" ht="71.25" customHeight="1">
      <c r="A290" s="159"/>
      <c r="B290" s="181"/>
      <c r="C290" s="19" t="str">
        <f>$C$28</f>
        <v>Отдел культуры, молодежной политики и спорта администрации сельского поселения Хатанга</v>
      </c>
      <c r="D290" s="40">
        <v>501</v>
      </c>
      <c r="E290" s="42" t="s">
        <v>198</v>
      </c>
      <c r="F290" s="42" t="s">
        <v>598</v>
      </c>
      <c r="G290" s="40">
        <v>810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30</v>
      </c>
      <c r="T290" s="45"/>
    </row>
    <row r="291" spans="1:20" ht="71.25" customHeight="1">
      <c r="A291" s="174" t="s">
        <v>738</v>
      </c>
      <c r="B291" s="176" t="s">
        <v>712</v>
      </c>
      <c r="C291" s="132" t="s">
        <v>602</v>
      </c>
      <c r="D291" s="137" t="s">
        <v>271</v>
      </c>
      <c r="E291" s="137" t="s">
        <v>303</v>
      </c>
      <c r="F291" s="137" t="s">
        <v>710</v>
      </c>
      <c r="G291" s="138"/>
      <c r="H291" s="134">
        <v>5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34">
        <v>5</v>
      </c>
      <c r="O291" s="134">
        <v>0</v>
      </c>
      <c r="P291" s="134">
        <v>5</v>
      </c>
      <c r="Q291" s="134">
        <v>0</v>
      </c>
      <c r="R291" s="134">
        <v>0</v>
      </c>
      <c r="S291" s="134">
        <v>0</v>
      </c>
      <c r="T291" s="178" t="s">
        <v>705</v>
      </c>
    </row>
    <row r="292" spans="1:20" ht="16.5" customHeight="1">
      <c r="A292" s="174"/>
      <c r="B292" s="176"/>
      <c r="C292" s="123" t="s">
        <v>56</v>
      </c>
      <c r="D292" s="137"/>
      <c r="E292" s="137"/>
      <c r="F292" s="137"/>
      <c r="G292" s="139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45"/>
      <c r="S292" s="45"/>
      <c r="T292" s="179"/>
    </row>
    <row r="293" spans="1:20" ht="309.75" customHeight="1">
      <c r="A293" s="175"/>
      <c r="B293" s="177"/>
      <c r="C293" s="133" t="s">
        <v>197</v>
      </c>
      <c r="D293" s="137" t="s">
        <v>271</v>
      </c>
      <c r="E293" s="137" t="s">
        <v>303</v>
      </c>
      <c r="F293" s="137" t="s">
        <v>711</v>
      </c>
      <c r="G293" s="139">
        <v>200</v>
      </c>
      <c r="H293" s="135">
        <v>5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5</v>
      </c>
      <c r="O293" s="136">
        <v>0</v>
      </c>
      <c r="P293" s="135">
        <f>N293+L293+J293</f>
        <v>5</v>
      </c>
      <c r="Q293" s="135">
        <v>0</v>
      </c>
      <c r="R293" s="135">
        <v>0</v>
      </c>
      <c r="S293" s="135">
        <v>0</v>
      </c>
      <c r="T293" s="180"/>
    </row>
    <row r="294" spans="1:20" ht="24.75" customHeight="1">
      <c r="A294" s="182" t="s">
        <v>534</v>
      </c>
      <c r="B294" s="183"/>
      <c r="C294" s="184"/>
      <c r="D294" s="40"/>
      <c r="E294" s="40"/>
      <c r="F294" s="40"/>
      <c r="G294" s="40"/>
      <c r="H294" s="47">
        <f aca="true" t="shared" si="57" ref="H294:O294">H6+H104+H108+H114+H122+H137+H146+H205+H268+H278+H280+H293</f>
        <v>260401.02506</v>
      </c>
      <c r="I294" s="47">
        <f t="shared" si="57"/>
        <v>249473.53088999997</v>
      </c>
      <c r="J294" s="47">
        <f t="shared" si="57"/>
        <v>46167.20133</v>
      </c>
      <c r="K294" s="47">
        <f t="shared" si="57"/>
        <v>43124.993930000004</v>
      </c>
      <c r="L294" s="47">
        <f t="shared" si="57"/>
        <v>103033.06849</v>
      </c>
      <c r="M294" s="47">
        <f t="shared" si="57"/>
        <v>100528.55417999999</v>
      </c>
      <c r="N294" s="47">
        <f t="shared" si="57"/>
        <v>152695.84498999998</v>
      </c>
      <c r="O294" s="47">
        <f t="shared" si="57"/>
        <v>143315.90699</v>
      </c>
      <c r="P294" s="47">
        <f>P6+P104+P108+P114+P122+P137+P146+P205+P268+P278+P280+P293</f>
        <v>235354.92846999996</v>
      </c>
      <c r="Q294" s="47">
        <f>Q6+Q104+Q108+Q114+Q122+Q137+Q146+Q205+Q268+Q278+Q280+Q293</f>
        <v>228490.52516999998</v>
      </c>
      <c r="R294" s="47">
        <f>R6+R104+R108+R114+R122+R137+R146+R205+R268+R278+R280+R293</f>
        <v>211164.36926</v>
      </c>
      <c r="S294" s="47">
        <f>S6+S104+S108+S114+S122+S137+S146+S205+S268+S278+S280+S293</f>
        <v>129807.67138</v>
      </c>
      <c r="T294" s="45"/>
    </row>
    <row r="295" spans="1:20" ht="15.75">
      <c r="A295" s="65"/>
      <c r="B295" s="98"/>
      <c r="C295" s="36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</row>
    <row r="296" spans="1:18" s="109" customFormat="1" ht="15.75">
      <c r="A296" s="110" t="s">
        <v>702</v>
      </c>
      <c r="B296" s="105"/>
      <c r="C296" s="106"/>
      <c r="D296" s="57"/>
      <c r="E296" s="57"/>
      <c r="F296" s="57"/>
      <c r="G296" s="57"/>
      <c r="L296" s="108"/>
      <c r="M296" s="57"/>
      <c r="N296" s="57"/>
      <c r="O296" s="57"/>
      <c r="P296" s="57"/>
      <c r="Q296" s="57"/>
      <c r="R296" s="30"/>
    </row>
    <row r="297" spans="1:18" s="37" customFormat="1" ht="15.75">
      <c r="A297" s="110" t="s">
        <v>703</v>
      </c>
      <c r="B297" s="25"/>
      <c r="C297" s="22"/>
      <c r="D297" s="63"/>
      <c r="E297" s="63"/>
      <c r="F297" s="63"/>
      <c r="G297" s="63"/>
      <c r="H297" s="101"/>
      <c r="I297" s="101"/>
      <c r="J297" s="107"/>
      <c r="K297" s="107"/>
      <c r="L297" s="108" t="s">
        <v>704</v>
      </c>
      <c r="M297" s="63"/>
      <c r="N297" s="63"/>
      <c r="O297" s="63"/>
      <c r="P297" s="63"/>
      <c r="Q297" s="63"/>
      <c r="R297" s="24"/>
    </row>
    <row r="298" spans="1:3" s="63" customFormat="1" ht="15.75">
      <c r="A298" s="66"/>
      <c r="B298" s="99"/>
      <c r="C298" s="68"/>
    </row>
    <row r="299" spans="1:3" s="63" customFormat="1" ht="15.75">
      <c r="A299" s="25" t="s">
        <v>531</v>
      </c>
      <c r="B299" s="99"/>
      <c r="C299" s="68"/>
    </row>
    <row r="300" spans="1:3" s="63" customFormat="1" ht="15.75">
      <c r="A300" s="25" t="s">
        <v>532</v>
      </c>
      <c r="B300" s="99"/>
      <c r="C300" s="68"/>
    </row>
  </sheetData>
  <sheetProtection/>
  <mergeCells count="169">
    <mergeCell ref="A252:A254"/>
    <mergeCell ref="B252:B254"/>
    <mergeCell ref="A264:A266"/>
    <mergeCell ref="B264:B266"/>
    <mergeCell ref="A191:A192"/>
    <mergeCell ref="A193:A194"/>
    <mergeCell ref="A195:A196"/>
    <mergeCell ref="S237:S239"/>
    <mergeCell ref="T237:T239"/>
    <mergeCell ref="A241:A243"/>
    <mergeCell ref="B241:B243"/>
    <mergeCell ref="A248:A250"/>
    <mergeCell ref="B248:B250"/>
    <mergeCell ref="M237:M239"/>
    <mergeCell ref="N237:N239"/>
    <mergeCell ref="O237:O239"/>
    <mergeCell ref="F237:F239"/>
    <mergeCell ref="P237:P239"/>
    <mergeCell ref="Q237:Q239"/>
    <mergeCell ref="R237:R239"/>
    <mergeCell ref="G237:G239"/>
    <mergeCell ref="H237:H239"/>
    <mergeCell ref="I237:I239"/>
    <mergeCell ref="J237:J239"/>
    <mergeCell ref="K237:K239"/>
    <mergeCell ref="L237:L239"/>
    <mergeCell ref="E237:E239"/>
    <mergeCell ref="A208:A210"/>
    <mergeCell ref="B218:B220"/>
    <mergeCell ref="A230:A232"/>
    <mergeCell ref="B230:B232"/>
    <mergeCell ref="A218:A220"/>
    <mergeCell ref="A197:A198"/>
    <mergeCell ref="A199:A200"/>
    <mergeCell ref="A237:A239"/>
    <mergeCell ref="B237:B239"/>
    <mergeCell ref="C237:C239"/>
    <mergeCell ref="D237:D239"/>
    <mergeCell ref="A280:A281"/>
    <mergeCell ref="B280:B281"/>
    <mergeCell ref="B150:B152"/>
    <mergeCell ref="A187:A190"/>
    <mergeCell ref="B187:B190"/>
    <mergeCell ref="A205:A207"/>
    <mergeCell ref="B205:B207"/>
    <mergeCell ref="A181:A182"/>
    <mergeCell ref="A201:A203"/>
    <mergeCell ref="B201:B203"/>
    <mergeCell ref="B199:B200"/>
    <mergeCell ref="A33:A36"/>
    <mergeCell ref="B33:B35"/>
    <mergeCell ref="B50:B52"/>
    <mergeCell ref="B142:B145"/>
    <mergeCell ref="A172:A173"/>
    <mergeCell ref="A175:A177"/>
    <mergeCell ref="B175:B177"/>
    <mergeCell ref="A183:A184"/>
    <mergeCell ref="A102:A104"/>
    <mergeCell ref="B102:B104"/>
    <mergeCell ref="A105:A107"/>
    <mergeCell ref="B69:B71"/>
    <mergeCell ref="A72:A74"/>
    <mergeCell ref="B72:B74"/>
    <mergeCell ref="A179:A180"/>
    <mergeCell ref="A146:A149"/>
    <mergeCell ref="A92:A101"/>
    <mergeCell ref="B92:B101"/>
    <mergeCell ref="B146:B149"/>
    <mergeCell ref="C94:C101"/>
    <mergeCell ref="A86:A88"/>
    <mergeCell ref="B86:B88"/>
    <mergeCell ref="A89:A91"/>
    <mergeCell ref="B89:B91"/>
    <mergeCell ref="A226:A228"/>
    <mergeCell ref="B226:B228"/>
    <mergeCell ref="B208:B210"/>
    <mergeCell ref="A212:A214"/>
    <mergeCell ref="B212:B214"/>
    <mergeCell ref="A150:A152"/>
    <mergeCell ref="A128:A130"/>
    <mergeCell ref="B128:B130"/>
    <mergeCell ref="A131:A133"/>
    <mergeCell ref="B131:B133"/>
    <mergeCell ref="A134:A136"/>
    <mergeCell ref="B134:B136"/>
    <mergeCell ref="A138:A141"/>
    <mergeCell ref="B138:B141"/>
    <mergeCell ref="A142:A145"/>
    <mergeCell ref="A108:A110"/>
    <mergeCell ref="B108:B110"/>
    <mergeCell ref="C116:C117"/>
    <mergeCell ref="A118:A121"/>
    <mergeCell ref="B118:B121"/>
    <mergeCell ref="C120:C121"/>
    <mergeCell ref="A6:A9"/>
    <mergeCell ref="A2:A5"/>
    <mergeCell ref="A30:A32"/>
    <mergeCell ref="A75:A77"/>
    <mergeCell ref="B75:B77"/>
    <mergeCell ref="A60:A62"/>
    <mergeCell ref="B60:B62"/>
    <mergeCell ref="A10:A12"/>
    <mergeCell ref="B10:B12"/>
    <mergeCell ref="A69:A71"/>
    <mergeCell ref="A1:T1"/>
    <mergeCell ref="H2:S2"/>
    <mergeCell ref="D2:G2"/>
    <mergeCell ref="F3:F5"/>
    <mergeCell ref="T2:T5"/>
    <mergeCell ref="P4:Q4"/>
    <mergeCell ref="H3:I4"/>
    <mergeCell ref="G3:G5"/>
    <mergeCell ref="D3:D5"/>
    <mergeCell ref="B2:B5"/>
    <mergeCell ref="R3:S4"/>
    <mergeCell ref="B6:B9"/>
    <mergeCell ref="E3:E5"/>
    <mergeCell ref="C2:C5"/>
    <mergeCell ref="J3:Q3"/>
    <mergeCell ref="N4:O4"/>
    <mergeCell ref="J4:K4"/>
    <mergeCell ref="L4:M4"/>
    <mergeCell ref="B13:B16"/>
    <mergeCell ref="A50:A52"/>
    <mergeCell ref="B44:B45"/>
    <mergeCell ref="A13:A16"/>
    <mergeCell ref="B30:B31"/>
    <mergeCell ref="A41:A43"/>
    <mergeCell ref="B37:B38"/>
    <mergeCell ref="B41:B43"/>
    <mergeCell ref="A37:A40"/>
    <mergeCell ref="A17:A29"/>
    <mergeCell ref="B17:B29"/>
    <mergeCell ref="A66:A68"/>
    <mergeCell ref="B66:B68"/>
    <mergeCell ref="A56:A59"/>
    <mergeCell ref="B56:B59"/>
    <mergeCell ref="A63:A65"/>
    <mergeCell ref="B63:B65"/>
    <mergeCell ref="A53:A55"/>
    <mergeCell ref="B53:B55"/>
    <mergeCell ref="A44:A49"/>
    <mergeCell ref="B111:B113"/>
    <mergeCell ref="A114:A117"/>
    <mergeCell ref="B114:B117"/>
    <mergeCell ref="A122:A124"/>
    <mergeCell ref="B122:B124"/>
    <mergeCell ref="A125:A127"/>
    <mergeCell ref="B125:B127"/>
    <mergeCell ref="A294:C294"/>
    <mergeCell ref="A272:A277"/>
    <mergeCell ref="B274:B275"/>
    <mergeCell ref="B276:B277"/>
    <mergeCell ref="A278:A279"/>
    <mergeCell ref="B278:B279"/>
    <mergeCell ref="A282:A290"/>
    <mergeCell ref="B282:B284"/>
    <mergeCell ref="B285:B287"/>
    <mergeCell ref="B288:B290"/>
    <mergeCell ref="A291:A293"/>
    <mergeCell ref="B291:B293"/>
    <mergeCell ref="T291:T293"/>
    <mergeCell ref="B105:B107"/>
    <mergeCell ref="A78:A85"/>
    <mergeCell ref="B78:B85"/>
    <mergeCell ref="C80:C85"/>
    <mergeCell ref="A268:A271"/>
    <mergeCell ref="B268:B271"/>
    <mergeCell ref="A111:A113"/>
  </mergeCells>
  <printOptions/>
  <pageMargins left="0.7" right="0.7" top="0.75" bottom="0.75" header="0.3" footer="0.3"/>
  <pageSetup fitToHeight="0" fitToWidth="1" horizontalDpi="600" verticalDpi="600" orientation="landscape" paperSize="9" scale="42" r:id="rId1"/>
  <rowBreaks count="3" manualBreakCount="3">
    <brk id="32" max="19" man="1"/>
    <brk id="62" max="19" man="1"/>
    <brk id="28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4"/>
  <sheetViews>
    <sheetView tabSelected="1" view="pageBreakPreview" zoomScaleSheetLayoutView="100" zoomScalePageLayoutView="0" workbookViewId="0" topLeftCell="A230">
      <selection activeCell="B277" sqref="B277"/>
    </sheetView>
  </sheetViews>
  <sheetFormatPr defaultColWidth="9.00390625" defaultRowHeight="12.75"/>
  <cols>
    <col min="1" max="1" width="21.375" style="31" customWidth="1"/>
    <col min="2" max="2" width="30.625" style="31" customWidth="1"/>
    <col min="3" max="3" width="27.25390625" style="95" customWidth="1"/>
    <col min="4" max="4" width="13.00390625" style="31" customWidth="1"/>
    <col min="5" max="5" width="11.25390625" style="31" customWidth="1"/>
    <col min="6" max="6" width="12.00390625" style="31" customWidth="1"/>
    <col min="7" max="7" width="10.375" style="31" customWidth="1"/>
    <col min="8" max="8" width="13.00390625" style="31" customWidth="1"/>
    <col min="9" max="9" width="11.00390625" style="31" customWidth="1"/>
    <col min="10" max="10" width="11.25390625" style="31" customWidth="1"/>
    <col min="11" max="11" width="11.375" style="31" customWidth="1"/>
    <col min="12" max="12" width="11.00390625" style="31" customWidth="1"/>
    <col min="13" max="13" width="11.375" style="31" customWidth="1"/>
    <col min="14" max="14" width="13.375" style="31" customWidth="1"/>
    <col min="15" max="15" width="11.375" style="31" customWidth="1"/>
    <col min="16" max="16" width="21.875" style="95" customWidth="1"/>
    <col min="17" max="16384" width="9.125" style="31" customWidth="1"/>
  </cols>
  <sheetData>
    <row r="1" spans="1:16" ht="30.75" customHeight="1">
      <c r="A1" s="185" t="s">
        <v>163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29.25" customHeight="1">
      <c r="A2" s="160" t="s">
        <v>19</v>
      </c>
      <c r="B2" s="160" t="s">
        <v>60</v>
      </c>
      <c r="C2" s="181" t="s">
        <v>35</v>
      </c>
      <c r="D2" s="160" t="s">
        <v>536</v>
      </c>
      <c r="E2" s="160"/>
      <c r="F2" s="160" t="s">
        <v>537</v>
      </c>
      <c r="G2" s="160"/>
      <c r="H2" s="160"/>
      <c r="I2" s="160"/>
      <c r="J2" s="160"/>
      <c r="K2" s="160"/>
      <c r="L2" s="160"/>
      <c r="M2" s="160"/>
      <c r="N2" s="160" t="s">
        <v>2</v>
      </c>
      <c r="O2" s="160"/>
      <c r="P2" s="181" t="s">
        <v>34</v>
      </c>
    </row>
    <row r="3" spans="1:16" ht="29.25" customHeight="1">
      <c r="A3" s="160"/>
      <c r="B3" s="160"/>
      <c r="C3" s="181"/>
      <c r="D3" s="160"/>
      <c r="E3" s="160"/>
      <c r="F3" s="160" t="s">
        <v>5</v>
      </c>
      <c r="G3" s="160"/>
      <c r="H3" s="160" t="s">
        <v>13</v>
      </c>
      <c r="I3" s="160"/>
      <c r="J3" s="160" t="s">
        <v>14</v>
      </c>
      <c r="K3" s="160"/>
      <c r="L3" s="160" t="s">
        <v>17</v>
      </c>
      <c r="M3" s="160"/>
      <c r="N3" s="160"/>
      <c r="O3" s="160"/>
      <c r="P3" s="181"/>
    </row>
    <row r="4" spans="1:16" ht="15.75">
      <c r="A4" s="160"/>
      <c r="B4" s="160"/>
      <c r="C4" s="181"/>
      <c r="D4" s="34" t="s">
        <v>3</v>
      </c>
      <c r="E4" s="34" t="s">
        <v>4</v>
      </c>
      <c r="F4" s="34" t="s">
        <v>3</v>
      </c>
      <c r="G4" s="34" t="s">
        <v>4</v>
      </c>
      <c r="H4" s="34" t="s">
        <v>3</v>
      </c>
      <c r="I4" s="34" t="s">
        <v>4</v>
      </c>
      <c r="J4" s="34" t="s">
        <v>3</v>
      </c>
      <c r="K4" s="34" t="s">
        <v>4</v>
      </c>
      <c r="L4" s="34" t="s">
        <v>3</v>
      </c>
      <c r="M4" s="34" t="s">
        <v>4</v>
      </c>
      <c r="N4" s="34">
        <v>2020</v>
      </c>
      <c r="O4" s="34">
        <v>2021</v>
      </c>
      <c r="P4" s="181"/>
    </row>
    <row r="5" spans="1:17" ht="13.5" customHeight="1">
      <c r="A5" s="147" t="s">
        <v>726</v>
      </c>
      <c r="B5" s="147" t="s">
        <v>671</v>
      </c>
      <c r="C5" s="69" t="s">
        <v>20</v>
      </c>
      <c r="D5" s="100">
        <f>D13+D21</f>
        <v>158987.56</v>
      </c>
      <c r="E5" s="100">
        <f>E13+E21</f>
        <v>158987.56</v>
      </c>
      <c r="F5" s="100">
        <f>F13+F21</f>
        <v>36044.89</v>
      </c>
      <c r="G5" s="100">
        <f>G13+G21-0.01</f>
        <v>34373.35999999999</v>
      </c>
      <c r="H5" s="100">
        <f aca="true" t="shared" si="0" ref="H5:M5">H13+H21</f>
        <v>82959.01</v>
      </c>
      <c r="I5" s="100">
        <f t="shared" si="0"/>
        <v>81046.19999999998</v>
      </c>
      <c r="J5" s="100">
        <f t="shared" si="0"/>
        <v>119848.37</v>
      </c>
      <c r="K5" s="100">
        <f t="shared" si="0"/>
        <v>111723.68000000001</v>
      </c>
      <c r="L5" s="100">
        <f t="shared" si="0"/>
        <v>159549.82</v>
      </c>
      <c r="M5" s="100">
        <f t="shared" si="0"/>
        <v>159549.82</v>
      </c>
      <c r="N5" s="100">
        <f>N13+N21-0.01</f>
        <v>172042.355</v>
      </c>
      <c r="O5" s="100">
        <f>O13+O21</f>
        <v>119457.61</v>
      </c>
      <c r="P5" s="69"/>
      <c r="Q5" s="58"/>
    </row>
    <row r="6" spans="1:16" ht="15.75">
      <c r="A6" s="147"/>
      <c r="B6" s="147"/>
      <c r="C6" s="69" t="s">
        <v>21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69"/>
    </row>
    <row r="7" spans="1:16" ht="15.75">
      <c r="A7" s="147"/>
      <c r="B7" s="147"/>
      <c r="C7" s="69" t="s">
        <v>8</v>
      </c>
      <c r="D7" s="53">
        <f aca="true" t="shared" si="1" ref="D7:N7">D15+D23</f>
        <v>7.69</v>
      </c>
      <c r="E7" s="53">
        <f t="shared" si="1"/>
        <v>7.69</v>
      </c>
      <c r="F7" s="53">
        <f t="shared" si="1"/>
        <v>0</v>
      </c>
      <c r="G7" s="53">
        <f t="shared" si="1"/>
        <v>0</v>
      </c>
      <c r="H7" s="53">
        <f t="shared" si="1"/>
        <v>0</v>
      </c>
      <c r="I7" s="53">
        <f t="shared" si="1"/>
        <v>0</v>
      </c>
      <c r="J7" s="53">
        <f t="shared" si="1"/>
        <v>0</v>
      </c>
      <c r="K7" s="53">
        <f t="shared" si="1"/>
        <v>0</v>
      </c>
      <c r="L7" s="53">
        <f t="shared" si="1"/>
        <v>994.36</v>
      </c>
      <c r="M7" s="53">
        <f t="shared" si="1"/>
        <v>994.36</v>
      </c>
      <c r="N7" s="53">
        <f t="shared" si="1"/>
        <v>7.385</v>
      </c>
      <c r="O7" s="53"/>
      <c r="P7" s="104"/>
    </row>
    <row r="8" spans="1:16" ht="15.75">
      <c r="A8" s="147"/>
      <c r="B8" s="147"/>
      <c r="C8" s="69" t="s">
        <v>22</v>
      </c>
      <c r="D8" s="53">
        <f aca="true" t="shared" si="2" ref="D8:N8">D16+D24</f>
        <v>5696.2699999999995</v>
      </c>
      <c r="E8" s="53">
        <f t="shared" si="2"/>
        <v>5696.2699999999995</v>
      </c>
      <c r="F8" s="53">
        <f t="shared" si="2"/>
        <v>550.98</v>
      </c>
      <c r="G8" s="53">
        <f t="shared" si="2"/>
        <v>412.11</v>
      </c>
      <c r="H8" s="53">
        <f t="shared" si="2"/>
        <v>1101.96</v>
      </c>
      <c r="I8" s="53">
        <f t="shared" si="2"/>
        <v>1101.96</v>
      </c>
      <c r="J8" s="53">
        <f t="shared" si="2"/>
        <v>1652.92</v>
      </c>
      <c r="K8" s="53">
        <f t="shared" si="2"/>
        <v>1411.92</v>
      </c>
      <c r="L8" s="53">
        <f t="shared" si="2"/>
        <v>3091.87</v>
      </c>
      <c r="M8" s="53">
        <f t="shared" si="2"/>
        <v>3091.87</v>
      </c>
      <c r="N8" s="53">
        <f t="shared" si="2"/>
        <v>140.65</v>
      </c>
      <c r="O8" s="53">
        <f>O16+O24</f>
        <v>148.04</v>
      </c>
      <c r="P8" s="103"/>
    </row>
    <row r="9" spans="1:16" ht="15.75">
      <c r="A9" s="147"/>
      <c r="B9" s="147"/>
      <c r="C9" s="69" t="s">
        <v>109</v>
      </c>
      <c r="D9" s="53">
        <f aca="true" t="shared" si="3" ref="D9:N9">D17+D26</f>
        <v>331.4</v>
      </c>
      <c r="E9" s="53">
        <f t="shared" si="3"/>
        <v>331.4</v>
      </c>
      <c r="F9" s="53">
        <f t="shared" si="3"/>
        <v>0</v>
      </c>
      <c r="G9" s="53">
        <f t="shared" si="3"/>
        <v>0</v>
      </c>
      <c r="H9" s="53">
        <f t="shared" si="3"/>
        <v>195.5</v>
      </c>
      <c r="I9" s="53">
        <f t="shared" si="3"/>
        <v>188.26</v>
      </c>
      <c r="J9" s="53">
        <f t="shared" si="3"/>
        <v>195.5</v>
      </c>
      <c r="K9" s="53">
        <f t="shared" si="3"/>
        <v>188.26</v>
      </c>
      <c r="L9" s="53">
        <f t="shared" si="3"/>
        <v>469.2</v>
      </c>
      <c r="M9" s="53">
        <f t="shared" si="3"/>
        <v>469.2</v>
      </c>
      <c r="N9" s="53">
        <f t="shared" si="3"/>
        <v>413.1</v>
      </c>
      <c r="O9" s="53"/>
      <c r="P9" s="103"/>
    </row>
    <row r="10" spans="1:16" ht="15.75">
      <c r="A10" s="147"/>
      <c r="B10" s="147"/>
      <c r="C10" s="69" t="s">
        <v>36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103"/>
    </row>
    <row r="11" spans="1:17" ht="30">
      <c r="A11" s="147"/>
      <c r="B11" s="147"/>
      <c r="C11" s="69" t="s">
        <v>61</v>
      </c>
      <c r="D11" s="53">
        <f aca="true" t="shared" si="4" ref="D11:O11">D19+D28</f>
        <v>128864.06</v>
      </c>
      <c r="E11" s="53">
        <f t="shared" si="4"/>
        <v>128864.06</v>
      </c>
      <c r="F11" s="53">
        <f t="shared" si="4"/>
        <v>31063.600000000002</v>
      </c>
      <c r="G11" s="53">
        <f t="shared" si="4"/>
        <v>30292.07</v>
      </c>
      <c r="H11" s="53">
        <f t="shared" si="4"/>
        <v>69349.03</v>
      </c>
      <c r="I11" s="53">
        <f t="shared" si="4"/>
        <v>68881.31999999999</v>
      </c>
      <c r="J11" s="53">
        <f t="shared" si="4"/>
        <v>101753.59</v>
      </c>
      <c r="K11" s="53">
        <f t="shared" si="4"/>
        <v>97425.39</v>
      </c>
      <c r="L11" s="53">
        <f t="shared" si="4"/>
        <v>132855.15</v>
      </c>
      <c r="M11" s="53">
        <f t="shared" si="4"/>
        <v>132855.15</v>
      </c>
      <c r="N11" s="53">
        <f t="shared" si="4"/>
        <v>138053.89</v>
      </c>
      <c r="O11" s="53">
        <f t="shared" si="4"/>
        <v>119309.57</v>
      </c>
      <c r="P11" s="69"/>
      <c r="Q11" s="58"/>
    </row>
    <row r="12" spans="1:16" ht="15.75">
      <c r="A12" s="147"/>
      <c r="B12" s="147"/>
      <c r="C12" s="69" t="s">
        <v>23</v>
      </c>
      <c r="D12" s="53">
        <f aca="true" t="shared" si="5" ref="D12:O12">D20+D29</f>
        <v>400</v>
      </c>
      <c r="E12" s="53">
        <f t="shared" si="5"/>
        <v>400</v>
      </c>
      <c r="F12" s="53">
        <f t="shared" si="5"/>
        <v>90</v>
      </c>
      <c r="G12" s="53">
        <f t="shared" si="5"/>
        <v>0</v>
      </c>
      <c r="H12" s="53">
        <f t="shared" si="5"/>
        <v>170</v>
      </c>
      <c r="I12" s="53">
        <f t="shared" si="5"/>
        <v>170</v>
      </c>
      <c r="J12" s="53">
        <f t="shared" si="5"/>
        <v>400</v>
      </c>
      <c r="K12" s="53">
        <f t="shared" si="5"/>
        <v>285.75</v>
      </c>
      <c r="L12" s="53">
        <f t="shared" si="5"/>
        <v>400</v>
      </c>
      <c r="M12" s="53">
        <f t="shared" si="5"/>
        <v>400</v>
      </c>
      <c r="N12" s="53">
        <f t="shared" si="5"/>
        <v>400</v>
      </c>
      <c r="O12" s="53">
        <f t="shared" si="5"/>
        <v>400</v>
      </c>
      <c r="P12" s="103"/>
    </row>
    <row r="13" spans="1:16" ht="16.5" customHeight="1">
      <c r="A13" s="160" t="s">
        <v>31</v>
      </c>
      <c r="B13" s="160" t="s">
        <v>670</v>
      </c>
      <c r="C13" s="69" t="s">
        <v>20</v>
      </c>
      <c r="D13" s="100">
        <f>SUM(D15:D20)</f>
        <v>133382.38</v>
      </c>
      <c r="E13" s="100">
        <f aca="true" t="shared" si="6" ref="E13:O13">SUM(E15:E20)</f>
        <v>133382.38</v>
      </c>
      <c r="F13" s="100">
        <f t="shared" si="6"/>
        <v>31325.06</v>
      </c>
      <c r="G13" s="100">
        <f t="shared" si="6"/>
        <v>30553.53</v>
      </c>
      <c r="H13" s="100">
        <f t="shared" si="6"/>
        <v>70067.45</v>
      </c>
      <c r="I13" s="100">
        <f t="shared" si="6"/>
        <v>69592.49999999999</v>
      </c>
      <c r="J13" s="100">
        <f>SUM(J15:J20)</f>
        <v>102733.45999999999</v>
      </c>
      <c r="K13" s="100">
        <f t="shared" si="6"/>
        <v>98398.02</v>
      </c>
      <c r="L13" s="100">
        <f t="shared" si="6"/>
        <v>136237.12</v>
      </c>
      <c r="M13" s="100">
        <f t="shared" si="6"/>
        <v>136237.12</v>
      </c>
      <c r="N13" s="100">
        <f t="shared" si="6"/>
        <v>138615.02500000002</v>
      </c>
      <c r="O13" s="100">
        <f t="shared" si="6"/>
        <v>119457.61</v>
      </c>
      <c r="P13" s="103"/>
    </row>
    <row r="14" spans="1:16" ht="15.75">
      <c r="A14" s="160"/>
      <c r="B14" s="160"/>
      <c r="C14" s="69" t="s">
        <v>21</v>
      </c>
      <c r="D14" s="53"/>
      <c r="E14" s="53"/>
      <c r="F14" s="53"/>
      <c r="G14" s="53"/>
      <c r="H14" s="53"/>
      <c r="I14" s="53"/>
      <c r="J14" s="53"/>
      <c r="K14" s="100"/>
      <c r="L14" s="53"/>
      <c r="M14" s="53"/>
      <c r="N14" s="53"/>
      <c r="O14" s="53"/>
      <c r="P14" s="103"/>
    </row>
    <row r="15" spans="1:16" ht="15.75">
      <c r="A15" s="160"/>
      <c r="B15" s="160"/>
      <c r="C15" s="69" t="s">
        <v>8</v>
      </c>
      <c r="D15" s="53">
        <v>7.69</v>
      </c>
      <c r="E15" s="53">
        <v>7.69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994.36</v>
      </c>
      <c r="M15" s="53">
        <v>994.36</v>
      </c>
      <c r="N15" s="53">
        <v>7.385</v>
      </c>
      <c r="O15" s="53"/>
      <c r="P15" s="103"/>
    </row>
    <row r="16" spans="1:16" ht="15.75" customHeight="1">
      <c r="A16" s="160"/>
      <c r="B16" s="160"/>
      <c r="C16" s="69" t="s">
        <v>22</v>
      </c>
      <c r="D16" s="53">
        <f>138.14+70.4+3314.12+292.19+116.91+247.47</f>
        <v>4179.23</v>
      </c>
      <c r="E16" s="53">
        <f>138.14+70.4+3314.12+292.19+116.91+247.47</f>
        <v>4179.23</v>
      </c>
      <c r="F16" s="53">
        <v>261.46</v>
      </c>
      <c r="G16" s="53">
        <v>261.46</v>
      </c>
      <c r="H16" s="53">
        <v>522.92</v>
      </c>
      <c r="I16" s="53">
        <v>522.92</v>
      </c>
      <c r="J16" s="53">
        <v>784.37</v>
      </c>
      <c r="K16" s="53">
        <v>784.37</v>
      </c>
      <c r="L16" s="53">
        <v>1918.41</v>
      </c>
      <c r="M16" s="53">
        <v>1918.41</v>
      </c>
      <c r="N16" s="53">
        <v>140.65</v>
      </c>
      <c r="O16" s="53">
        <v>148.04</v>
      </c>
      <c r="P16" s="69"/>
    </row>
    <row r="17" spans="1:16" ht="12.75" customHeight="1">
      <c r="A17" s="160"/>
      <c r="B17" s="160"/>
      <c r="C17" s="69" t="s">
        <v>109</v>
      </c>
      <c r="D17" s="45">
        <v>331.4</v>
      </c>
      <c r="E17" s="45">
        <v>331.4</v>
      </c>
      <c r="F17" s="45">
        <v>0</v>
      </c>
      <c r="G17" s="45">
        <v>0</v>
      </c>
      <c r="H17" s="45">
        <v>195.5</v>
      </c>
      <c r="I17" s="45">
        <v>188.26</v>
      </c>
      <c r="J17" s="45">
        <v>195.5</v>
      </c>
      <c r="K17" s="45">
        <v>188.26</v>
      </c>
      <c r="L17" s="45">
        <v>469.2</v>
      </c>
      <c r="M17" s="45">
        <v>469.2</v>
      </c>
      <c r="N17" s="45">
        <v>413.1</v>
      </c>
      <c r="O17" s="45"/>
      <c r="P17" s="69"/>
    </row>
    <row r="18" spans="1:16" ht="15.75">
      <c r="A18" s="160"/>
      <c r="B18" s="160"/>
      <c r="C18" s="69" t="s">
        <v>36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103"/>
    </row>
    <row r="19" spans="1:16" ht="30">
      <c r="A19" s="160"/>
      <c r="B19" s="160"/>
      <c r="C19" s="69" t="s">
        <v>32</v>
      </c>
      <c r="D19" s="53">
        <v>128864.06</v>
      </c>
      <c r="E19" s="53">
        <v>128864.06</v>
      </c>
      <c r="F19" s="53">
        <f>30693.04+370.56</f>
        <v>31063.600000000002</v>
      </c>
      <c r="G19" s="53">
        <f>30292.07</f>
        <v>30292.07</v>
      </c>
      <c r="H19" s="53">
        <f>68978.47+370.56</f>
        <v>69349.03</v>
      </c>
      <c r="I19" s="53">
        <f>68510.76+370.56</f>
        <v>68881.31999999999</v>
      </c>
      <c r="J19" s="53">
        <f>101383.03+370.56</f>
        <v>101753.59</v>
      </c>
      <c r="K19" s="53">
        <f>97054.83+370.56</f>
        <v>97425.39</v>
      </c>
      <c r="L19" s="53">
        <v>132855.15</v>
      </c>
      <c r="M19" s="53">
        <v>132855.15</v>
      </c>
      <c r="N19" s="53">
        <v>138053.89</v>
      </c>
      <c r="O19" s="53">
        <v>119309.57</v>
      </c>
      <c r="P19" s="69"/>
    </row>
    <row r="20" spans="1:16" ht="15.75">
      <c r="A20" s="160"/>
      <c r="B20" s="160"/>
      <c r="C20" s="69" t="s">
        <v>23</v>
      </c>
      <c r="D20" s="53"/>
      <c r="E20" s="53"/>
      <c r="F20" s="45"/>
      <c r="G20" s="45"/>
      <c r="H20" s="45"/>
      <c r="I20" s="45"/>
      <c r="J20" s="45"/>
      <c r="K20" s="53"/>
      <c r="L20" s="53"/>
      <c r="M20" s="53"/>
      <c r="N20" s="53"/>
      <c r="O20" s="53"/>
      <c r="P20" s="103"/>
    </row>
    <row r="21" spans="1:16" ht="16.5" customHeight="1">
      <c r="A21" s="160" t="s">
        <v>86</v>
      </c>
      <c r="B21" s="160" t="s">
        <v>669</v>
      </c>
      <c r="C21" s="69" t="s">
        <v>20</v>
      </c>
      <c r="D21" s="100">
        <f>SUM(D23:D28)</f>
        <v>25605.18</v>
      </c>
      <c r="E21" s="100">
        <f aca="true" t="shared" si="7" ref="E21:N21">SUM(E23:E28)</f>
        <v>25605.18</v>
      </c>
      <c r="F21" s="100">
        <f>SUM(F23:F28)</f>
        <v>4719.83</v>
      </c>
      <c r="G21" s="100">
        <f t="shared" si="7"/>
        <v>3819.84</v>
      </c>
      <c r="H21" s="100">
        <f t="shared" si="7"/>
        <v>12891.560000000001</v>
      </c>
      <c r="I21" s="100">
        <f t="shared" si="7"/>
        <v>11453.7</v>
      </c>
      <c r="J21" s="100">
        <f t="shared" si="7"/>
        <v>17114.91</v>
      </c>
      <c r="K21" s="100">
        <f t="shared" si="7"/>
        <v>13325.66</v>
      </c>
      <c r="L21" s="100">
        <f t="shared" si="7"/>
        <v>23312.7</v>
      </c>
      <c r="M21" s="100">
        <f t="shared" si="7"/>
        <v>23312.7</v>
      </c>
      <c r="N21" s="100">
        <f t="shared" si="7"/>
        <v>33427.34</v>
      </c>
      <c r="O21" s="100"/>
      <c r="P21" s="103"/>
    </row>
    <row r="22" spans="1:16" ht="15.75">
      <c r="A22" s="160"/>
      <c r="B22" s="160"/>
      <c r="C22" s="69" t="s">
        <v>21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103"/>
    </row>
    <row r="23" spans="1:16" ht="15.75">
      <c r="A23" s="160"/>
      <c r="B23" s="160"/>
      <c r="C23" s="69" t="s">
        <v>8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03"/>
    </row>
    <row r="24" spans="1:16" ht="12.75" customHeight="1">
      <c r="A24" s="160"/>
      <c r="B24" s="160"/>
      <c r="C24" s="69" t="s">
        <v>22</v>
      </c>
      <c r="D24" s="53">
        <v>1517.04</v>
      </c>
      <c r="E24" s="53">
        <v>1517.04</v>
      </c>
      <c r="F24" s="53">
        <v>289.52</v>
      </c>
      <c r="G24" s="53">
        <v>150.65</v>
      </c>
      <c r="H24" s="53">
        <v>579.04</v>
      </c>
      <c r="I24" s="53">
        <v>579.04</v>
      </c>
      <c r="J24" s="53">
        <v>868.55</v>
      </c>
      <c r="K24" s="53">
        <v>627.55</v>
      </c>
      <c r="L24" s="53">
        <v>1173.46</v>
      </c>
      <c r="M24" s="53">
        <v>1173.46</v>
      </c>
      <c r="N24" s="53"/>
      <c r="O24" s="53"/>
      <c r="P24" s="103"/>
    </row>
    <row r="25" spans="1:16" ht="12.75" customHeight="1">
      <c r="A25" s="160"/>
      <c r="B25" s="160"/>
      <c r="C25" s="69" t="s">
        <v>109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9"/>
    </row>
    <row r="26" spans="1:16" ht="12.75" customHeight="1">
      <c r="A26" s="160"/>
      <c r="B26" s="160"/>
      <c r="C26" s="69" t="s">
        <v>36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03"/>
    </row>
    <row r="27" spans="1:16" ht="25.5" customHeight="1">
      <c r="A27" s="160"/>
      <c r="B27" s="160"/>
      <c r="C27" s="69" t="s">
        <v>32</v>
      </c>
      <c r="D27" s="53">
        <v>24088.14</v>
      </c>
      <c r="E27" s="53">
        <v>24088.14</v>
      </c>
      <c r="F27" s="53">
        <v>4430.31</v>
      </c>
      <c r="G27" s="53">
        <v>3669.19</v>
      </c>
      <c r="H27" s="53">
        <v>12312.52</v>
      </c>
      <c r="I27" s="53">
        <v>10874.66</v>
      </c>
      <c r="J27" s="53">
        <v>16246.36</v>
      </c>
      <c r="K27" s="53">
        <v>12698.11</v>
      </c>
      <c r="L27" s="53">
        <v>22139.24</v>
      </c>
      <c r="M27" s="53">
        <v>22139.24</v>
      </c>
      <c r="N27" s="53">
        <v>33427.34</v>
      </c>
      <c r="O27" s="53"/>
      <c r="P27" s="69"/>
    </row>
    <row r="28" spans="1:16" ht="15.75">
      <c r="A28" s="160"/>
      <c r="B28" s="160"/>
      <c r="C28" s="69" t="s">
        <v>23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03"/>
    </row>
    <row r="29" spans="1:16" ht="13.5" customHeight="1">
      <c r="A29" s="147" t="s">
        <v>727</v>
      </c>
      <c r="B29" s="147" t="s">
        <v>174</v>
      </c>
      <c r="C29" s="69" t="s">
        <v>20</v>
      </c>
      <c r="D29" s="100">
        <f>SUM(D31:D35)</f>
        <v>400</v>
      </c>
      <c r="E29" s="100">
        <f aca="true" t="shared" si="8" ref="E29:O29">SUM(E31:E35)</f>
        <v>400</v>
      </c>
      <c r="F29" s="100">
        <f t="shared" si="8"/>
        <v>90</v>
      </c>
      <c r="G29" s="100">
        <f t="shared" si="8"/>
        <v>0</v>
      </c>
      <c r="H29" s="100">
        <f>SUM(H31:H35)</f>
        <v>170</v>
      </c>
      <c r="I29" s="100">
        <f>SUM(I31:I35)</f>
        <v>170</v>
      </c>
      <c r="J29" s="100">
        <f t="shared" si="8"/>
        <v>400</v>
      </c>
      <c r="K29" s="100">
        <f t="shared" si="8"/>
        <v>285.75</v>
      </c>
      <c r="L29" s="100">
        <f t="shared" si="8"/>
        <v>400</v>
      </c>
      <c r="M29" s="100">
        <f t="shared" si="8"/>
        <v>400</v>
      </c>
      <c r="N29" s="100">
        <f t="shared" si="8"/>
        <v>400</v>
      </c>
      <c r="O29" s="100">
        <f t="shared" si="8"/>
        <v>400</v>
      </c>
      <c r="P29" s="69"/>
    </row>
    <row r="30" spans="1:16" ht="15.75">
      <c r="A30" s="147"/>
      <c r="B30" s="147"/>
      <c r="C30" s="69" t="s">
        <v>21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69"/>
    </row>
    <row r="31" spans="1:16" ht="15.75">
      <c r="A31" s="147"/>
      <c r="B31" s="147"/>
      <c r="C31" s="69" t="s">
        <v>8</v>
      </c>
      <c r="D31" s="100"/>
      <c r="E31" s="100"/>
      <c r="F31" s="100"/>
      <c r="G31" s="100"/>
      <c r="H31" s="100"/>
      <c r="I31" s="100"/>
      <c r="J31" s="100"/>
      <c r="K31" s="100"/>
      <c r="L31" s="47"/>
      <c r="M31" s="47"/>
      <c r="N31" s="47"/>
      <c r="O31" s="47"/>
      <c r="P31" s="104"/>
    </row>
    <row r="32" spans="1:16" ht="15.75">
      <c r="A32" s="147"/>
      <c r="B32" s="147"/>
      <c r="C32" s="69" t="s">
        <v>22</v>
      </c>
      <c r="D32" s="53"/>
      <c r="E32" s="53"/>
      <c r="F32" s="53"/>
      <c r="G32" s="53"/>
      <c r="H32" s="53"/>
      <c r="I32" s="53"/>
      <c r="J32" s="53"/>
      <c r="K32" s="53"/>
      <c r="L32" s="45"/>
      <c r="M32" s="45"/>
      <c r="N32" s="45"/>
      <c r="O32" s="45"/>
      <c r="P32" s="103"/>
    </row>
    <row r="33" spans="1:16" ht="15.75">
      <c r="A33" s="147"/>
      <c r="B33" s="147"/>
      <c r="C33" s="69" t="s">
        <v>36</v>
      </c>
      <c r="D33" s="53"/>
      <c r="E33" s="53"/>
      <c r="F33" s="53"/>
      <c r="G33" s="53"/>
      <c r="H33" s="53"/>
      <c r="I33" s="53"/>
      <c r="J33" s="53"/>
      <c r="K33" s="53"/>
      <c r="L33" s="45"/>
      <c r="M33" s="45"/>
      <c r="N33" s="45"/>
      <c r="O33" s="45"/>
      <c r="P33" s="103"/>
    </row>
    <row r="34" spans="1:16" ht="30">
      <c r="A34" s="147"/>
      <c r="B34" s="147"/>
      <c r="C34" s="69" t="s">
        <v>61</v>
      </c>
      <c r="D34" s="53">
        <f>D36</f>
        <v>400</v>
      </c>
      <c r="E34" s="53">
        <f aca="true" t="shared" si="9" ref="E34:O34">E36</f>
        <v>400</v>
      </c>
      <c r="F34" s="53">
        <f t="shared" si="9"/>
        <v>90</v>
      </c>
      <c r="G34" s="53">
        <f t="shared" si="9"/>
        <v>0</v>
      </c>
      <c r="H34" s="53">
        <f t="shared" si="9"/>
        <v>170</v>
      </c>
      <c r="I34" s="53">
        <f t="shared" si="9"/>
        <v>170</v>
      </c>
      <c r="J34" s="53">
        <f t="shared" si="9"/>
        <v>400</v>
      </c>
      <c r="K34" s="53">
        <f t="shared" si="9"/>
        <v>285.75</v>
      </c>
      <c r="L34" s="53">
        <f t="shared" si="9"/>
        <v>400</v>
      </c>
      <c r="M34" s="53">
        <f t="shared" si="9"/>
        <v>400</v>
      </c>
      <c r="N34" s="53">
        <f t="shared" si="9"/>
        <v>400</v>
      </c>
      <c r="O34" s="53">
        <f t="shared" si="9"/>
        <v>400</v>
      </c>
      <c r="P34" s="103"/>
    </row>
    <row r="35" spans="1:16" ht="15.75">
      <c r="A35" s="147"/>
      <c r="B35" s="147"/>
      <c r="C35" s="69" t="s">
        <v>23</v>
      </c>
      <c r="D35" s="53"/>
      <c r="E35" s="53"/>
      <c r="F35" s="53"/>
      <c r="G35" s="53"/>
      <c r="H35" s="53"/>
      <c r="I35" s="53"/>
      <c r="J35" s="53"/>
      <c r="K35" s="53"/>
      <c r="L35" s="45"/>
      <c r="M35" s="45"/>
      <c r="N35" s="45"/>
      <c r="O35" s="45"/>
      <c r="P35" s="103"/>
    </row>
    <row r="36" spans="1:16" ht="25.5" customHeight="1" hidden="1">
      <c r="A36" s="160" t="s">
        <v>175</v>
      </c>
      <c r="B36" s="160" t="s">
        <v>173</v>
      </c>
      <c r="C36" s="69" t="s">
        <v>20</v>
      </c>
      <c r="D36" s="100">
        <f>SUM(D38:D42)</f>
        <v>400</v>
      </c>
      <c r="E36" s="100">
        <f aca="true" t="shared" si="10" ref="E36:O36">SUM(E38:E42)</f>
        <v>400</v>
      </c>
      <c r="F36" s="100">
        <f t="shared" si="10"/>
        <v>90</v>
      </c>
      <c r="G36" s="100">
        <f t="shared" si="10"/>
        <v>0</v>
      </c>
      <c r="H36" s="100">
        <f t="shared" si="10"/>
        <v>170</v>
      </c>
      <c r="I36" s="100">
        <f t="shared" si="10"/>
        <v>170</v>
      </c>
      <c r="J36" s="100">
        <f t="shared" si="10"/>
        <v>400</v>
      </c>
      <c r="K36" s="100">
        <f t="shared" si="10"/>
        <v>285.75</v>
      </c>
      <c r="L36" s="100">
        <f t="shared" si="10"/>
        <v>400</v>
      </c>
      <c r="M36" s="100">
        <f t="shared" si="10"/>
        <v>400</v>
      </c>
      <c r="N36" s="100">
        <f t="shared" si="10"/>
        <v>400</v>
      </c>
      <c r="O36" s="100">
        <f t="shared" si="10"/>
        <v>400</v>
      </c>
      <c r="P36" s="103"/>
    </row>
    <row r="37" spans="1:16" ht="15.75" hidden="1">
      <c r="A37" s="160"/>
      <c r="B37" s="160"/>
      <c r="C37" s="69" t="s">
        <v>21</v>
      </c>
      <c r="D37" s="53"/>
      <c r="E37" s="53"/>
      <c r="F37" s="53"/>
      <c r="G37" s="53"/>
      <c r="H37" s="53"/>
      <c r="I37" s="53"/>
      <c r="J37" s="53"/>
      <c r="K37" s="53"/>
      <c r="L37" s="45"/>
      <c r="M37" s="45"/>
      <c r="N37" s="45"/>
      <c r="O37" s="45"/>
      <c r="P37" s="103"/>
    </row>
    <row r="38" spans="1:16" ht="15.75" hidden="1">
      <c r="A38" s="160"/>
      <c r="B38" s="160"/>
      <c r="C38" s="69" t="s">
        <v>8</v>
      </c>
      <c r="D38" s="53"/>
      <c r="E38" s="53"/>
      <c r="F38" s="53"/>
      <c r="G38" s="53"/>
      <c r="H38" s="53"/>
      <c r="I38" s="53"/>
      <c r="J38" s="53"/>
      <c r="K38" s="53"/>
      <c r="L38" s="45"/>
      <c r="M38" s="45"/>
      <c r="N38" s="45"/>
      <c r="O38" s="45"/>
      <c r="P38" s="103"/>
    </row>
    <row r="39" spans="1:16" ht="15.75" hidden="1">
      <c r="A39" s="160"/>
      <c r="B39" s="160"/>
      <c r="C39" s="69" t="s">
        <v>22</v>
      </c>
      <c r="D39" s="53"/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103"/>
    </row>
    <row r="40" spans="1:16" ht="15.75" hidden="1">
      <c r="A40" s="160"/>
      <c r="B40" s="160"/>
      <c r="C40" s="69" t="s">
        <v>36</v>
      </c>
      <c r="D40" s="53"/>
      <c r="E40" s="53"/>
      <c r="F40" s="53"/>
      <c r="G40" s="53"/>
      <c r="H40" s="53"/>
      <c r="I40" s="53"/>
      <c r="J40" s="53"/>
      <c r="K40" s="53"/>
      <c r="L40" s="45"/>
      <c r="M40" s="45"/>
      <c r="N40" s="45"/>
      <c r="O40" s="45"/>
      <c r="P40" s="103"/>
    </row>
    <row r="41" spans="1:16" ht="33.75" customHeight="1" hidden="1">
      <c r="A41" s="160"/>
      <c r="B41" s="160"/>
      <c r="C41" s="69" t="s">
        <v>32</v>
      </c>
      <c r="D41" s="45">
        <v>400</v>
      </c>
      <c r="E41" s="45">
        <v>400</v>
      </c>
      <c r="F41" s="45">
        <v>90</v>
      </c>
      <c r="G41" s="45">
        <v>0</v>
      </c>
      <c r="H41" s="45">
        <v>170</v>
      </c>
      <c r="I41" s="45">
        <v>170</v>
      </c>
      <c r="J41" s="45">
        <v>400</v>
      </c>
      <c r="K41" s="45">
        <v>285.75</v>
      </c>
      <c r="L41" s="45">
        <v>400</v>
      </c>
      <c r="M41" s="45">
        <v>400</v>
      </c>
      <c r="N41" s="45">
        <v>400</v>
      </c>
      <c r="O41" s="45">
        <v>400</v>
      </c>
      <c r="P41" s="69"/>
    </row>
    <row r="42" spans="1:16" ht="15.75" hidden="1">
      <c r="A42" s="160"/>
      <c r="B42" s="160"/>
      <c r="C42" s="69" t="s">
        <v>23</v>
      </c>
      <c r="D42" s="53"/>
      <c r="E42" s="53"/>
      <c r="F42" s="53"/>
      <c r="G42" s="53"/>
      <c r="H42" s="53"/>
      <c r="I42" s="53"/>
      <c r="J42" s="53"/>
      <c r="K42" s="53"/>
      <c r="L42" s="45"/>
      <c r="M42" s="45"/>
      <c r="N42" s="45"/>
      <c r="O42" s="45"/>
      <c r="P42" s="103"/>
    </row>
    <row r="43" spans="1:16" ht="13.5" customHeight="1">
      <c r="A43" s="147" t="s">
        <v>728</v>
      </c>
      <c r="B43" s="147" t="s">
        <v>187</v>
      </c>
      <c r="C43" s="69" t="s">
        <v>20</v>
      </c>
      <c r="D43" s="100">
        <f>SUM(D45:D49)</f>
        <v>420</v>
      </c>
      <c r="E43" s="100">
        <f aca="true" t="shared" si="11" ref="E43:O43">SUM(E45:E49)</f>
        <v>420</v>
      </c>
      <c r="F43" s="100">
        <f t="shared" si="11"/>
        <v>83</v>
      </c>
      <c r="G43" s="100">
        <f t="shared" si="11"/>
        <v>33</v>
      </c>
      <c r="H43" s="100">
        <f t="shared" si="11"/>
        <v>148</v>
      </c>
      <c r="I43" s="100">
        <f t="shared" si="11"/>
        <v>114.17</v>
      </c>
      <c r="J43" s="100">
        <f t="shared" si="11"/>
        <v>420</v>
      </c>
      <c r="K43" s="100">
        <f t="shared" si="11"/>
        <v>139.89</v>
      </c>
      <c r="L43" s="100">
        <f t="shared" si="11"/>
        <v>420</v>
      </c>
      <c r="M43" s="100">
        <f t="shared" si="11"/>
        <v>420</v>
      </c>
      <c r="N43" s="100">
        <f t="shared" si="11"/>
        <v>420</v>
      </c>
      <c r="O43" s="100">
        <f t="shared" si="11"/>
        <v>420</v>
      </c>
      <c r="P43" s="69"/>
    </row>
    <row r="44" spans="1:16" ht="15.75">
      <c r="A44" s="147"/>
      <c r="B44" s="147"/>
      <c r="C44" s="69" t="s">
        <v>21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69"/>
    </row>
    <row r="45" spans="1:16" ht="15.75">
      <c r="A45" s="147"/>
      <c r="B45" s="147"/>
      <c r="C45" s="69" t="s">
        <v>8</v>
      </c>
      <c r="D45" s="100"/>
      <c r="E45" s="100"/>
      <c r="F45" s="100"/>
      <c r="G45" s="100"/>
      <c r="H45" s="100"/>
      <c r="I45" s="100"/>
      <c r="J45" s="100"/>
      <c r="K45" s="100"/>
      <c r="L45" s="47"/>
      <c r="M45" s="47"/>
      <c r="N45" s="47"/>
      <c r="O45" s="47"/>
      <c r="P45" s="104"/>
    </row>
    <row r="46" spans="1:16" ht="15.75">
      <c r="A46" s="147"/>
      <c r="B46" s="147"/>
      <c r="C46" s="69" t="s">
        <v>22</v>
      </c>
      <c r="D46" s="53"/>
      <c r="E46" s="53"/>
      <c r="F46" s="53"/>
      <c r="G46" s="53"/>
      <c r="H46" s="53"/>
      <c r="I46" s="53"/>
      <c r="J46" s="53"/>
      <c r="K46" s="53"/>
      <c r="L46" s="45"/>
      <c r="M46" s="45"/>
      <c r="N46" s="45"/>
      <c r="O46" s="45"/>
      <c r="P46" s="103"/>
    </row>
    <row r="47" spans="1:16" ht="15.75">
      <c r="A47" s="147"/>
      <c r="B47" s="147"/>
      <c r="C47" s="69" t="s">
        <v>36</v>
      </c>
      <c r="D47" s="53"/>
      <c r="E47" s="53"/>
      <c r="F47" s="53"/>
      <c r="G47" s="53"/>
      <c r="H47" s="53"/>
      <c r="I47" s="53"/>
      <c r="J47" s="53"/>
      <c r="K47" s="53"/>
      <c r="L47" s="45"/>
      <c r="M47" s="45"/>
      <c r="N47" s="45"/>
      <c r="O47" s="45"/>
      <c r="P47" s="103"/>
    </row>
    <row r="48" spans="1:16" ht="30">
      <c r="A48" s="147"/>
      <c r="B48" s="147"/>
      <c r="C48" s="69" t="s">
        <v>61</v>
      </c>
      <c r="D48" s="53">
        <f>D50</f>
        <v>420</v>
      </c>
      <c r="E48" s="53">
        <f aca="true" t="shared" si="12" ref="E48:O48">E50</f>
        <v>420</v>
      </c>
      <c r="F48" s="53">
        <f t="shared" si="12"/>
        <v>83</v>
      </c>
      <c r="G48" s="53">
        <f t="shared" si="12"/>
        <v>33</v>
      </c>
      <c r="H48" s="53">
        <f t="shared" si="12"/>
        <v>148</v>
      </c>
      <c r="I48" s="53">
        <f t="shared" si="12"/>
        <v>114.17</v>
      </c>
      <c r="J48" s="53">
        <f t="shared" si="12"/>
        <v>420</v>
      </c>
      <c r="K48" s="53">
        <f t="shared" si="12"/>
        <v>139.89</v>
      </c>
      <c r="L48" s="53">
        <f t="shared" si="12"/>
        <v>420</v>
      </c>
      <c r="M48" s="53">
        <f t="shared" si="12"/>
        <v>420</v>
      </c>
      <c r="N48" s="53">
        <f t="shared" si="12"/>
        <v>420</v>
      </c>
      <c r="O48" s="53">
        <f t="shared" si="12"/>
        <v>420</v>
      </c>
      <c r="P48" s="103"/>
    </row>
    <row r="49" spans="1:16" ht="15.75">
      <c r="A49" s="147"/>
      <c r="B49" s="147"/>
      <c r="C49" s="69" t="s">
        <v>23</v>
      </c>
      <c r="D49" s="53"/>
      <c r="E49" s="53"/>
      <c r="F49" s="53"/>
      <c r="G49" s="53"/>
      <c r="H49" s="53"/>
      <c r="I49" s="53"/>
      <c r="J49" s="53"/>
      <c r="K49" s="53"/>
      <c r="L49" s="45"/>
      <c r="M49" s="45"/>
      <c r="N49" s="45"/>
      <c r="O49" s="45"/>
      <c r="P49" s="103"/>
    </row>
    <row r="50" spans="1:16" ht="25.5" customHeight="1" hidden="1">
      <c r="A50" s="160" t="s">
        <v>175</v>
      </c>
      <c r="B50" s="160" t="s">
        <v>186</v>
      </c>
      <c r="C50" s="69" t="s">
        <v>20</v>
      </c>
      <c r="D50" s="53">
        <f>SUM(D52:D56)</f>
        <v>420</v>
      </c>
      <c r="E50" s="53">
        <f aca="true" t="shared" si="13" ref="E50:O50">SUM(E52:E56)</f>
        <v>420</v>
      </c>
      <c r="F50" s="53">
        <f t="shared" si="13"/>
        <v>83</v>
      </c>
      <c r="G50" s="53">
        <f t="shared" si="13"/>
        <v>33</v>
      </c>
      <c r="H50" s="53">
        <f t="shared" si="13"/>
        <v>148</v>
      </c>
      <c r="I50" s="53">
        <f t="shared" si="13"/>
        <v>114.17</v>
      </c>
      <c r="J50" s="53">
        <f t="shared" si="13"/>
        <v>420</v>
      </c>
      <c r="K50" s="53">
        <f t="shared" si="13"/>
        <v>139.89</v>
      </c>
      <c r="L50" s="53">
        <f t="shared" si="13"/>
        <v>420</v>
      </c>
      <c r="M50" s="53">
        <f t="shared" si="13"/>
        <v>420</v>
      </c>
      <c r="N50" s="53">
        <f t="shared" si="13"/>
        <v>420</v>
      </c>
      <c r="O50" s="53">
        <f t="shared" si="13"/>
        <v>420</v>
      </c>
      <c r="P50" s="103"/>
    </row>
    <row r="51" spans="1:16" ht="15.75" hidden="1">
      <c r="A51" s="160"/>
      <c r="B51" s="160"/>
      <c r="C51" s="69" t="s">
        <v>21</v>
      </c>
      <c r="D51" s="53"/>
      <c r="E51" s="53"/>
      <c r="F51" s="53"/>
      <c r="G51" s="53"/>
      <c r="H51" s="53"/>
      <c r="I51" s="53"/>
      <c r="J51" s="53"/>
      <c r="K51" s="53"/>
      <c r="L51" s="45"/>
      <c r="M51" s="45"/>
      <c r="N51" s="45"/>
      <c r="O51" s="45"/>
      <c r="P51" s="103"/>
    </row>
    <row r="52" spans="1:16" ht="15.75" hidden="1">
      <c r="A52" s="160"/>
      <c r="B52" s="160"/>
      <c r="C52" s="69" t="s">
        <v>8</v>
      </c>
      <c r="D52" s="53"/>
      <c r="E52" s="53"/>
      <c r="F52" s="53"/>
      <c r="G52" s="53"/>
      <c r="H52" s="53"/>
      <c r="I52" s="53"/>
      <c r="J52" s="53"/>
      <c r="K52" s="53"/>
      <c r="L52" s="45"/>
      <c r="M52" s="45"/>
      <c r="N52" s="45"/>
      <c r="O52" s="45"/>
      <c r="P52" s="103"/>
    </row>
    <row r="53" spans="1:16" ht="15.75" hidden="1">
      <c r="A53" s="160"/>
      <c r="B53" s="160"/>
      <c r="C53" s="69" t="s">
        <v>22</v>
      </c>
      <c r="D53" s="53"/>
      <c r="E53" s="53"/>
      <c r="F53" s="53"/>
      <c r="G53" s="53"/>
      <c r="H53" s="53"/>
      <c r="I53" s="53"/>
      <c r="J53" s="53"/>
      <c r="K53" s="53"/>
      <c r="L53" s="45"/>
      <c r="M53" s="45"/>
      <c r="N53" s="45"/>
      <c r="O53" s="45"/>
      <c r="P53" s="103"/>
    </row>
    <row r="54" spans="1:16" ht="15.75" hidden="1">
      <c r="A54" s="160"/>
      <c r="B54" s="160"/>
      <c r="C54" s="69" t="s">
        <v>36</v>
      </c>
      <c r="D54" s="53"/>
      <c r="E54" s="53"/>
      <c r="F54" s="53"/>
      <c r="G54" s="53"/>
      <c r="H54" s="53"/>
      <c r="I54" s="53"/>
      <c r="J54" s="53"/>
      <c r="K54" s="53"/>
      <c r="L54" s="45"/>
      <c r="M54" s="45"/>
      <c r="N54" s="45"/>
      <c r="O54" s="45"/>
      <c r="P54" s="103"/>
    </row>
    <row r="55" spans="1:16" ht="24.75" customHeight="1" hidden="1">
      <c r="A55" s="160"/>
      <c r="B55" s="160"/>
      <c r="C55" s="69" t="s">
        <v>32</v>
      </c>
      <c r="D55" s="45">
        <v>420</v>
      </c>
      <c r="E55" s="45">
        <v>420</v>
      </c>
      <c r="F55" s="45">
        <v>83</v>
      </c>
      <c r="G55" s="45">
        <v>33</v>
      </c>
      <c r="H55" s="45">
        <f>F55+65</f>
        <v>148</v>
      </c>
      <c r="I55" s="45">
        <v>114.17</v>
      </c>
      <c r="J55" s="45">
        <f>H55+50+222</f>
        <v>420</v>
      </c>
      <c r="K55" s="45">
        <v>139.89</v>
      </c>
      <c r="L55" s="45">
        <v>420</v>
      </c>
      <c r="M55" s="45">
        <v>420</v>
      </c>
      <c r="N55" s="45">
        <v>420</v>
      </c>
      <c r="O55" s="45">
        <v>420</v>
      </c>
      <c r="P55" s="69"/>
    </row>
    <row r="56" spans="1:16" ht="15.75" hidden="1">
      <c r="A56" s="160"/>
      <c r="B56" s="160"/>
      <c r="C56" s="69" t="s">
        <v>23</v>
      </c>
      <c r="D56" s="53"/>
      <c r="E56" s="53"/>
      <c r="F56" s="53"/>
      <c r="G56" s="53"/>
      <c r="H56" s="53"/>
      <c r="I56" s="53"/>
      <c r="J56" s="53"/>
      <c r="K56" s="53"/>
      <c r="L56" s="45"/>
      <c r="M56" s="45"/>
      <c r="N56" s="45"/>
      <c r="O56" s="45"/>
      <c r="P56" s="103"/>
    </row>
    <row r="57" spans="1:16" s="113" customFormat="1" ht="24.75" customHeight="1">
      <c r="A57" s="194" t="s">
        <v>729</v>
      </c>
      <c r="B57" s="194" t="s">
        <v>691</v>
      </c>
      <c r="C57" s="38" t="s">
        <v>20</v>
      </c>
      <c r="D57" s="47">
        <v>2099.89</v>
      </c>
      <c r="E57" s="47">
        <v>2463.16</v>
      </c>
      <c r="F57" s="47">
        <v>1272.07</v>
      </c>
      <c r="G57" s="47">
        <v>1272.07</v>
      </c>
      <c r="H57" s="47">
        <v>2073.52</v>
      </c>
      <c r="I57" s="47">
        <v>2073.52</v>
      </c>
      <c r="J57" s="47">
        <v>2073.52</v>
      </c>
      <c r="K57" s="47">
        <v>2073.52</v>
      </c>
      <c r="L57" s="47">
        <v>2073.52</v>
      </c>
      <c r="M57" s="47">
        <v>2073.52</v>
      </c>
      <c r="N57" s="47">
        <v>2100.66</v>
      </c>
      <c r="O57" s="47">
        <v>2100.66</v>
      </c>
      <c r="P57" s="69"/>
    </row>
    <row r="58" spans="1:16" s="113" customFormat="1" ht="15.75">
      <c r="A58" s="194"/>
      <c r="B58" s="194"/>
      <c r="C58" s="38" t="s">
        <v>21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103"/>
    </row>
    <row r="59" spans="1:16" s="113" customFormat="1" ht="15.75">
      <c r="A59" s="194"/>
      <c r="B59" s="194"/>
      <c r="C59" s="38" t="s">
        <v>8</v>
      </c>
      <c r="D59" s="47"/>
      <c r="E59" s="47"/>
      <c r="F59" s="100"/>
      <c r="G59" s="100"/>
      <c r="H59" s="100"/>
      <c r="I59" s="100"/>
      <c r="J59" s="100"/>
      <c r="K59" s="100"/>
      <c r="L59" s="47"/>
      <c r="M59" s="47"/>
      <c r="N59" s="47"/>
      <c r="O59" s="47"/>
      <c r="P59" s="103"/>
    </row>
    <row r="60" spans="1:16" s="113" customFormat="1" ht="15.75">
      <c r="A60" s="194"/>
      <c r="B60" s="194"/>
      <c r="C60" s="38" t="s">
        <v>22</v>
      </c>
      <c r="D60" s="45"/>
      <c r="E60" s="45"/>
      <c r="F60" s="53"/>
      <c r="G60" s="53"/>
      <c r="H60" s="53"/>
      <c r="I60" s="53"/>
      <c r="J60" s="53"/>
      <c r="K60" s="53"/>
      <c r="L60" s="45"/>
      <c r="M60" s="45"/>
      <c r="N60" s="45"/>
      <c r="O60" s="45"/>
      <c r="P60" s="103"/>
    </row>
    <row r="61" spans="1:16" s="113" customFormat="1" ht="15.75">
      <c r="A61" s="194"/>
      <c r="B61" s="194"/>
      <c r="C61" s="38" t="s">
        <v>36</v>
      </c>
      <c r="D61" s="45"/>
      <c r="E61" s="45"/>
      <c r="F61" s="53"/>
      <c r="G61" s="53"/>
      <c r="H61" s="53"/>
      <c r="I61" s="53"/>
      <c r="J61" s="53"/>
      <c r="K61" s="53"/>
      <c r="L61" s="45"/>
      <c r="M61" s="45"/>
      <c r="N61" s="45"/>
      <c r="O61" s="45"/>
      <c r="P61" s="103"/>
    </row>
    <row r="62" spans="1:16" s="113" customFormat="1" ht="30">
      <c r="A62" s="194"/>
      <c r="B62" s="194"/>
      <c r="C62" s="38" t="s">
        <v>61</v>
      </c>
      <c r="D62" s="45">
        <v>2099.89</v>
      </c>
      <c r="E62" s="45">
        <v>2463.16</v>
      </c>
      <c r="F62" s="45">
        <v>1272.07</v>
      </c>
      <c r="G62" s="45">
        <v>1272.07</v>
      </c>
      <c r="H62" s="45">
        <v>2073.52</v>
      </c>
      <c r="I62" s="45">
        <v>2073.52</v>
      </c>
      <c r="J62" s="45">
        <v>2073.52</v>
      </c>
      <c r="K62" s="45">
        <v>2073.52</v>
      </c>
      <c r="L62" s="45">
        <v>2073.52</v>
      </c>
      <c r="M62" s="45">
        <v>2073.52</v>
      </c>
      <c r="N62" s="45">
        <v>2100.66</v>
      </c>
      <c r="O62" s="45">
        <v>2100.66</v>
      </c>
      <c r="P62" s="103"/>
    </row>
    <row r="63" spans="1:16" s="113" customFormat="1" ht="45.75" customHeight="1">
      <c r="A63" s="194"/>
      <c r="B63" s="194"/>
      <c r="C63" s="38" t="s">
        <v>23</v>
      </c>
      <c r="D63" s="45"/>
      <c r="E63" s="45"/>
      <c r="F63" s="53"/>
      <c r="G63" s="53"/>
      <c r="H63" s="53"/>
      <c r="I63" s="53"/>
      <c r="J63" s="53"/>
      <c r="K63" s="53"/>
      <c r="L63" s="45"/>
      <c r="M63" s="45"/>
      <c r="N63" s="45"/>
      <c r="O63" s="45"/>
      <c r="P63" s="103"/>
    </row>
    <row r="64" spans="1:16" s="113" customFormat="1" ht="25.5" customHeight="1" hidden="1">
      <c r="A64" s="158" t="s">
        <v>175</v>
      </c>
      <c r="B64" s="195" t="s">
        <v>202</v>
      </c>
      <c r="C64" s="38" t="s">
        <v>20</v>
      </c>
      <c r="D64" s="45">
        <v>2099.89</v>
      </c>
      <c r="E64" s="45">
        <v>2463.16</v>
      </c>
      <c r="F64" s="45">
        <v>1272.07</v>
      </c>
      <c r="G64" s="45">
        <v>1272.07</v>
      </c>
      <c r="H64" s="45">
        <v>2073.52</v>
      </c>
      <c r="I64" s="45">
        <v>2073.52</v>
      </c>
      <c r="J64" s="45">
        <v>2073.52</v>
      </c>
      <c r="K64" s="45">
        <v>2073.52</v>
      </c>
      <c r="L64" s="45">
        <v>2073.52</v>
      </c>
      <c r="M64" s="45">
        <v>2073.52</v>
      </c>
      <c r="N64" s="45">
        <v>2100.66</v>
      </c>
      <c r="O64" s="45">
        <v>2100.66</v>
      </c>
      <c r="P64" s="103"/>
    </row>
    <row r="65" spans="1:16" s="113" customFormat="1" ht="15.75" hidden="1">
      <c r="A65" s="158"/>
      <c r="B65" s="195"/>
      <c r="C65" s="38" t="s">
        <v>21</v>
      </c>
      <c r="D65" s="45"/>
      <c r="E65" s="45"/>
      <c r="F65" s="53"/>
      <c r="G65" s="53"/>
      <c r="H65" s="53"/>
      <c r="I65" s="53"/>
      <c r="J65" s="53"/>
      <c r="K65" s="53"/>
      <c r="L65" s="45"/>
      <c r="M65" s="45"/>
      <c r="N65" s="45"/>
      <c r="O65" s="45"/>
      <c r="P65" s="103"/>
    </row>
    <row r="66" spans="1:16" s="113" customFormat="1" ht="15.75" hidden="1">
      <c r="A66" s="158"/>
      <c r="B66" s="195"/>
      <c r="C66" s="38" t="s">
        <v>8</v>
      </c>
      <c r="D66" s="45"/>
      <c r="E66" s="45"/>
      <c r="F66" s="53"/>
      <c r="G66" s="53"/>
      <c r="H66" s="53"/>
      <c r="I66" s="53"/>
      <c r="J66" s="53"/>
      <c r="K66" s="53"/>
      <c r="L66" s="45"/>
      <c r="M66" s="45"/>
      <c r="N66" s="45"/>
      <c r="O66" s="45"/>
      <c r="P66" s="103"/>
    </row>
    <row r="67" spans="1:16" s="113" customFormat="1" ht="15.75" hidden="1">
      <c r="A67" s="158"/>
      <c r="B67" s="195"/>
      <c r="C67" s="38" t="s">
        <v>22</v>
      </c>
      <c r="D67" s="45"/>
      <c r="E67" s="45"/>
      <c r="F67" s="53"/>
      <c r="G67" s="53"/>
      <c r="H67" s="53"/>
      <c r="I67" s="53"/>
      <c r="J67" s="53"/>
      <c r="K67" s="53"/>
      <c r="L67" s="45"/>
      <c r="M67" s="45"/>
      <c r="N67" s="45"/>
      <c r="O67" s="45"/>
      <c r="P67" s="103"/>
    </row>
    <row r="68" spans="1:16" s="113" customFormat="1" ht="15.75" hidden="1">
      <c r="A68" s="158"/>
      <c r="B68" s="195"/>
      <c r="C68" s="38" t="s">
        <v>36</v>
      </c>
      <c r="D68" s="45"/>
      <c r="E68" s="45"/>
      <c r="F68" s="53"/>
      <c r="G68" s="53"/>
      <c r="H68" s="53"/>
      <c r="I68" s="53"/>
      <c r="J68" s="53"/>
      <c r="K68" s="53"/>
      <c r="L68" s="45"/>
      <c r="M68" s="45"/>
      <c r="N68" s="45"/>
      <c r="O68" s="45"/>
      <c r="P68" s="103"/>
    </row>
    <row r="69" spans="1:16" s="113" customFormat="1" ht="30" hidden="1">
      <c r="A69" s="158"/>
      <c r="B69" s="195"/>
      <c r="C69" s="38" t="s">
        <v>32</v>
      </c>
      <c r="D69" s="45">
        <v>2099.89</v>
      </c>
      <c r="E69" s="45">
        <v>2463.16</v>
      </c>
      <c r="F69" s="45">
        <v>1272.07</v>
      </c>
      <c r="G69" s="45">
        <v>1272.07</v>
      </c>
      <c r="H69" s="45">
        <v>2073.52</v>
      </c>
      <c r="I69" s="45">
        <v>2073.52</v>
      </c>
      <c r="J69" s="45">
        <v>2073.52</v>
      </c>
      <c r="K69" s="45">
        <v>2073.52</v>
      </c>
      <c r="L69" s="45">
        <v>2073.52</v>
      </c>
      <c r="M69" s="45">
        <v>2073.52</v>
      </c>
      <c r="N69" s="45">
        <v>2100.66</v>
      </c>
      <c r="O69" s="45">
        <v>2100.66</v>
      </c>
      <c r="P69" s="103"/>
    </row>
    <row r="70" spans="1:16" s="113" customFormat="1" ht="15.75" hidden="1">
      <c r="A70" s="158"/>
      <c r="B70" s="195"/>
      <c r="C70" s="38" t="s">
        <v>23</v>
      </c>
      <c r="D70" s="53"/>
      <c r="E70" s="53"/>
      <c r="F70" s="53"/>
      <c r="G70" s="53"/>
      <c r="H70" s="53"/>
      <c r="I70" s="53"/>
      <c r="J70" s="53"/>
      <c r="K70" s="53"/>
      <c r="L70" s="45"/>
      <c r="M70" s="45"/>
      <c r="N70" s="45"/>
      <c r="O70" s="45"/>
      <c r="P70" s="103"/>
    </row>
    <row r="71" spans="1:16" s="113" customFormat="1" ht="13.5" customHeight="1">
      <c r="A71" s="194" t="s">
        <v>730</v>
      </c>
      <c r="B71" s="196" t="s">
        <v>229</v>
      </c>
      <c r="C71" s="38" t="s">
        <v>20</v>
      </c>
      <c r="D71" s="47">
        <v>7399.12</v>
      </c>
      <c r="E71" s="47">
        <v>6014.62</v>
      </c>
      <c r="F71" s="47">
        <f>F92+F99</f>
        <v>2520.22</v>
      </c>
      <c r="G71" s="47">
        <f aca="true" t="shared" si="14" ref="G71:O71">G92+G99</f>
        <v>1289.54</v>
      </c>
      <c r="H71" s="47">
        <f t="shared" si="14"/>
        <v>4003.12</v>
      </c>
      <c r="I71" s="47">
        <f t="shared" si="14"/>
        <v>3445.25</v>
      </c>
      <c r="J71" s="47">
        <f t="shared" si="14"/>
        <v>5578.870000000001</v>
      </c>
      <c r="K71" s="47">
        <f t="shared" si="14"/>
        <v>4697.98</v>
      </c>
      <c r="L71" s="47">
        <f t="shared" si="14"/>
        <v>6029.82</v>
      </c>
      <c r="M71" s="47">
        <f t="shared" si="14"/>
        <v>6029.82</v>
      </c>
      <c r="N71" s="47">
        <f t="shared" si="14"/>
        <v>7399.400000000001</v>
      </c>
      <c r="O71" s="47">
        <f t="shared" si="14"/>
        <v>7399.400000000001</v>
      </c>
      <c r="P71" s="69"/>
    </row>
    <row r="72" spans="1:16" s="113" customFormat="1" ht="15.75">
      <c r="A72" s="194"/>
      <c r="B72" s="196"/>
      <c r="C72" s="38" t="s">
        <v>21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69"/>
    </row>
    <row r="73" spans="1:16" s="113" customFormat="1" ht="15.75">
      <c r="A73" s="194"/>
      <c r="B73" s="196"/>
      <c r="C73" s="38" t="s">
        <v>8</v>
      </c>
      <c r="D73" s="100"/>
      <c r="E73" s="100"/>
      <c r="F73" s="100"/>
      <c r="G73" s="100"/>
      <c r="H73" s="100"/>
      <c r="I73" s="100"/>
      <c r="J73" s="100"/>
      <c r="K73" s="100"/>
      <c r="L73" s="47"/>
      <c r="M73" s="47"/>
      <c r="N73" s="47"/>
      <c r="O73" s="47"/>
      <c r="P73" s="104"/>
    </row>
    <row r="74" spans="1:16" s="113" customFormat="1" ht="15.75">
      <c r="A74" s="194"/>
      <c r="B74" s="196"/>
      <c r="C74" s="38" t="s">
        <v>22</v>
      </c>
      <c r="D74" s="53"/>
      <c r="E74" s="53"/>
      <c r="F74" s="53"/>
      <c r="G74" s="53"/>
      <c r="H74" s="53"/>
      <c r="I74" s="53"/>
      <c r="J74" s="53"/>
      <c r="K74" s="53"/>
      <c r="L74" s="45"/>
      <c r="M74" s="45"/>
      <c r="N74" s="45"/>
      <c r="O74" s="45"/>
      <c r="P74" s="103"/>
    </row>
    <row r="75" spans="1:16" s="113" customFormat="1" ht="15.75">
      <c r="A75" s="194"/>
      <c r="B75" s="196"/>
      <c r="C75" s="38" t="s">
        <v>36</v>
      </c>
      <c r="D75" s="53"/>
      <c r="E75" s="53"/>
      <c r="F75" s="53"/>
      <c r="G75" s="53"/>
      <c r="H75" s="53"/>
      <c r="I75" s="53"/>
      <c r="J75" s="53"/>
      <c r="K75" s="53"/>
      <c r="L75" s="45"/>
      <c r="M75" s="45"/>
      <c r="N75" s="45"/>
      <c r="O75" s="45"/>
      <c r="P75" s="103"/>
    </row>
    <row r="76" spans="1:16" s="113" customFormat="1" ht="16.5" customHeight="1">
      <c r="A76" s="194"/>
      <c r="B76" s="196"/>
      <c r="C76" s="38" t="s">
        <v>61</v>
      </c>
      <c r="D76" s="45">
        <v>7399.12</v>
      </c>
      <c r="E76" s="45">
        <v>6014.62</v>
      </c>
      <c r="F76" s="45">
        <f>F92+F99</f>
        <v>2520.22</v>
      </c>
      <c r="G76" s="45">
        <f aca="true" t="shared" si="15" ref="G76:O76">G92+G99</f>
        <v>1289.54</v>
      </c>
      <c r="H76" s="45">
        <f t="shared" si="15"/>
        <v>4003.12</v>
      </c>
      <c r="I76" s="45">
        <f t="shared" si="15"/>
        <v>3445.25</v>
      </c>
      <c r="J76" s="45">
        <f t="shared" si="15"/>
        <v>5578.870000000001</v>
      </c>
      <c r="K76" s="45">
        <f t="shared" si="15"/>
        <v>4697.98</v>
      </c>
      <c r="L76" s="45">
        <f t="shared" si="15"/>
        <v>6029.82</v>
      </c>
      <c r="M76" s="45">
        <f t="shared" si="15"/>
        <v>6029.82</v>
      </c>
      <c r="N76" s="45">
        <f t="shared" si="15"/>
        <v>7399.400000000001</v>
      </c>
      <c r="O76" s="45">
        <f t="shared" si="15"/>
        <v>7399.400000000001</v>
      </c>
      <c r="P76" s="103"/>
    </row>
    <row r="77" spans="1:16" s="113" customFormat="1" ht="15.75">
      <c r="A77" s="194"/>
      <c r="B77" s="196"/>
      <c r="C77" s="38" t="s">
        <v>23</v>
      </c>
      <c r="D77" s="53"/>
      <c r="E77" s="53"/>
      <c r="F77" s="53"/>
      <c r="G77" s="53"/>
      <c r="H77" s="53"/>
      <c r="I77" s="53"/>
      <c r="J77" s="53"/>
      <c r="K77" s="53"/>
      <c r="L77" s="45"/>
      <c r="M77" s="45"/>
      <c r="N77" s="45"/>
      <c r="O77" s="45"/>
      <c r="P77" s="103"/>
    </row>
    <row r="78" spans="1:16" s="113" customFormat="1" ht="25.5" customHeight="1" hidden="1">
      <c r="A78" s="158" t="s">
        <v>175</v>
      </c>
      <c r="B78" s="195"/>
      <c r="C78" s="38" t="s">
        <v>20</v>
      </c>
      <c r="D78" s="53"/>
      <c r="E78" s="53"/>
      <c r="F78" s="53"/>
      <c r="G78" s="53"/>
      <c r="H78" s="53"/>
      <c r="I78" s="53"/>
      <c r="J78" s="53"/>
      <c r="K78" s="53"/>
      <c r="L78" s="45"/>
      <c r="M78" s="45"/>
      <c r="N78" s="45"/>
      <c r="O78" s="45"/>
      <c r="P78" s="103"/>
    </row>
    <row r="79" spans="1:16" s="113" customFormat="1" ht="15.75" hidden="1">
      <c r="A79" s="158"/>
      <c r="B79" s="195"/>
      <c r="C79" s="38" t="s">
        <v>21</v>
      </c>
      <c r="D79" s="53"/>
      <c r="E79" s="53"/>
      <c r="F79" s="53"/>
      <c r="G79" s="53"/>
      <c r="H79" s="53"/>
      <c r="I79" s="53"/>
      <c r="J79" s="53"/>
      <c r="K79" s="53"/>
      <c r="L79" s="45"/>
      <c r="M79" s="45"/>
      <c r="N79" s="45"/>
      <c r="O79" s="45"/>
      <c r="P79" s="103"/>
    </row>
    <row r="80" spans="1:16" s="113" customFormat="1" ht="15.75" hidden="1">
      <c r="A80" s="158"/>
      <c r="B80" s="195"/>
      <c r="C80" s="38" t="s">
        <v>8</v>
      </c>
      <c r="D80" s="53"/>
      <c r="E80" s="53"/>
      <c r="F80" s="53"/>
      <c r="G80" s="53"/>
      <c r="H80" s="53"/>
      <c r="I80" s="53"/>
      <c r="J80" s="53"/>
      <c r="K80" s="53"/>
      <c r="L80" s="45"/>
      <c r="M80" s="45"/>
      <c r="N80" s="45"/>
      <c r="O80" s="45"/>
      <c r="P80" s="103"/>
    </row>
    <row r="81" spans="1:16" s="113" customFormat="1" ht="15.75" hidden="1">
      <c r="A81" s="158"/>
      <c r="B81" s="195"/>
      <c r="C81" s="38" t="s">
        <v>22</v>
      </c>
      <c r="D81" s="53"/>
      <c r="E81" s="53"/>
      <c r="F81" s="53"/>
      <c r="G81" s="53"/>
      <c r="H81" s="53"/>
      <c r="I81" s="53"/>
      <c r="J81" s="53"/>
      <c r="K81" s="53"/>
      <c r="L81" s="45"/>
      <c r="M81" s="45"/>
      <c r="N81" s="45"/>
      <c r="O81" s="45"/>
      <c r="P81" s="103"/>
    </row>
    <row r="82" spans="1:16" s="113" customFormat="1" ht="15.75" hidden="1">
      <c r="A82" s="158"/>
      <c r="B82" s="195"/>
      <c r="C82" s="38" t="s">
        <v>36</v>
      </c>
      <c r="D82" s="53"/>
      <c r="E82" s="53"/>
      <c r="F82" s="53"/>
      <c r="G82" s="53"/>
      <c r="H82" s="53"/>
      <c r="I82" s="53"/>
      <c r="J82" s="53"/>
      <c r="K82" s="53"/>
      <c r="L82" s="45"/>
      <c r="M82" s="45"/>
      <c r="N82" s="45"/>
      <c r="O82" s="45"/>
      <c r="P82" s="103"/>
    </row>
    <row r="83" spans="1:16" s="113" customFormat="1" ht="30" hidden="1">
      <c r="A83" s="158"/>
      <c r="B83" s="195"/>
      <c r="C83" s="38" t="s">
        <v>32</v>
      </c>
      <c r="D83" s="53"/>
      <c r="E83" s="53"/>
      <c r="F83" s="53"/>
      <c r="G83" s="53"/>
      <c r="H83" s="53"/>
      <c r="I83" s="53"/>
      <c r="J83" s="53"/>
      <c r="K83" s="53"/>
      <c r="L83" s="45"/>
      <c r="M83" s="45"/>
      <c r="N83" s="45"/>
      <c r="O83" s="45"/>
      <c r="P83" s="103"/>
    </row>
    <row r="84" spans="1:16" s="113" customFormat="1" ht="15.75" hidden="1">
      <c r="A84" s="158"/>
      <c r="B84" s="195"/>
      <c r="C84" s="38" t="s">
        <v>23</v>
      </c>
      <c r="D84" s="53"/>
      <c r="E84" s="53"/>
      <c r="F84" s="53"/>
      <c r="G84" s="53"/>
      <c r="H84" s="53"/>
      <c r="I84" s="53"/>
      <c r="J84" s="53"/>
      <c r="K84" s="53"/>
      <c r="L84" s="45"/>
      <c r="M84" s="45"/>
      <c r="N84" s="45"/>
      <c r="O84" s="45"/>
      <c r="P84" s="103"/>
    </row>
    <row r="85" spans="1:16" s="113" customFormat="1" ht="25.5" customHeight="1" hidden="1">
      <c r="A85" s="158" t="s">
        <v>242</v>
      </c>
      <c r="B85" s="195"/>
      <c r="C85" s="38" t="s">
        <v>20</v>
      </c>
      <c r="D85" s="53"/>
      <c r="E85" s="53"/>
      <c r="F85" s="53"/>
      <c r="G85" s="53"/>
      <c r="H85" s="53"/>
      <c r="I85" s="53"/>
      <c r="J85" s="53"/>
      <c r="K85" s="53"/>
      <c r="L85" s="45"/>
      <c r="M85" s="45"/>
      <c r="N85" s="45"/>
      <c r="O85" s="45"/>
      <c r="P85" s="103"/>
    </row>
    <row r="86" spans="1:16" s="113" customFormat="1" ht="15.75" hidden="1">
      <c r="A86" s="158"/>
      <c r="B86" s="195"/>
      <c r="C86" s="38" t="s">
        <v>21</v>
      </c>
      <c r="D86" s="53"/>
      <c r="E86" s="53"/>
      <c r="F86" s="53"/>
      <c r="G86" s="53"/>
      <c r="H86" s="53"/>
      <c r="I86" s="53"/>
      <c r="J86" s="53"/>
      <c r="K86" s="53"/>
      <c r="L86" s="45"/>
      <c r="M86" s="45"/>
      <c r="N86" s="45"/>
      <c r="O86" s="45"/>
      <c r="P86" s="103"/>
    </row>
    <row r="87" spans="1:16" s="113" customFormat="1" ht="15.75" hidden="1">
      <c r="A87" s="158"/>
      <c r="B87" s="195"/>
      <c r="C87" s="38" t="s">
        <v>8</v>
      </c>
      <c r="D87" s="53"/>
      <c r="E87" s="53"/>
      <c r="F87" s="53"/>
      <c r="G87" s="53"/>
      <c r="H87" s="53"/>
      <c r="I87" s="53"/>
      <c r="J87" s="53"/>
      <c r="K87" s="53"/>
      <c r="L87" s="45"/>
      <c r="M87" s="45"/>
      <c r="N87" s="45"/>
      <c r="O87" s="45"/>
      <c r="P87" s="103"/>
    </row>
    <row r="88" spans="1:16" s="113" customFormat="1" ht="15.75" hidden="1">
      <c r="A88" s="158"/>
      <c r="B88" s="195"/>
      <c r="C88" s="38" t="s">
        <v>22</v>
      </c>
      <c r="D88" s="53"/>
      <c r="E88" s="53"/>
      <c r="F88" s="53"/>
      <c r="G88" s="53"/>
      <c r="H88" s="53"/>
      <c r="I88" s="53"/>
      <c r="J88" s="53"/>
      <c r="K88" s="53"/>
      <c r="L88" s="45"/>
      <c r="M88" s="45"/>
      <c r="N88" s="45"/>
      <c r="O88" s="45"/>
      <c r="P88" s="103"/>
    </row>
    <row r="89" spans="1:16" s="113" customFormat="1" ht="15.75" hidden="1">
      <c r="A89" s="158"/>
      <c r="B89" s="195"/>
      <c r="C89" s="38" t="s">
        <v>36</v>
      </c>
      <c r="D89" s="53"/>
      <c r="E89" s="53"/>
      <c r="F89" s="53"/>
      <c r="G89" s="53"/>
      <c r="H89" s="53"/>
      <c r="I89" s="53"/>
      <c r="J89" s="53"/>
      <c r="K89" s="53"/>
      <c r="L89" s="45"/>
      <c r="M89" s="45"/>
      <c r="N89" s="45"/>
      <c r="O89" s="45"/>
      <c r="P89" s="103"/>
    </row>
    <row r="90" spans="1:16" s="113" customFormat="1" ht="30" hidden="1">
      <c r="A90" s="158"/>
      <c r="B90" s="195"/>
      <c r="C90" s="38" t="s">
        <v>32</v>
      </c>
      <c r="D90" s="53"/>
      <c r="E90" s="53"/>
      <c r="F90" s="53"/>
      <c r="G90" s="53"/>
      <c r="H90" s="53"/>
      <c r="I90" s="53"/>
      <c r="J90" s="53"/>
      <c r="K90" s="53"/>
      <c r="L90" s="45"/>
      <c r="M90" s="45"/>
      <c r="N90" s="45"/>
      <c r="O90" s="45"/>
      <c r="P90" s="103"/>
    </row>
    <row r="91" spans="1:16" s="113" customFormat="1" ht="15.75" hidden="1">
      <c r="A91" s="158"/>
      <c r="B91" s="195"/>
      <c r="C91" s="38" t="s">
        <v>23</v>
      </c>
      <c r="D91" s="53"/>
      <c r="E91" s="53"/>
      <c r="F91" s="53"/>
      <c r="G91" s="53"/>
      <c r="H91" s="53"/>
      <c r="I91" s="53"/>
      <c r="J91" s="53"/>
      <c r="K91" s="53"/>
      <c r="L91" s="45"/>
      <c r="M91" s="45"/>
      <c r="N91" s="45"/>
      <c r="O91" s="45"/>
      <c r="P91" s="103"/>
    </row>
    <row r="92" spans="1:16" s="113" customFormat="1" ht="13.5" customHeight="1">
      <c r="A92" s="166" t="s">
        <v>31</v>
      </c>
      <c r="B92" s="195" t="s">
        <v>692</v>
      </c>
      <c r="C92" s="38" t="s">
        <v>20</v>
      </c>
      <c r="D92" s="45">
        <v>914.6</v>
      </c>
      <c r="E92" s="45">
        <v>730.83</v>
      </c>
      <c r="F92" s="53">
        <v>914.6</v>
      </c>
      <c r="G92" s="53">
        <f>G97</f>
        <v>0</v>
      </c>
      <c r="H92" s="45">
        <v>914.6</v>
      </c>
      <c r="I92" s="53">
        <v>880.78</v>
      </c>
      <c r="J92" s="45">
        <v>914.6</v>
      </c>
      <c r="K92" s="53">
        <v>880.75</v>
      </c>
      <c r="L92" s="45">
        <v>880.75</v>
      </c>
      <c r="M92" s="45">
        <v>880.75</v>
      </c>
      <c r="N92" s="45">
        <v>914.6</v>
      </c>
      <c r="O92" s="45">
        <v>914.6</v>
      </c>
      <c r="P92" s="69"/>
    </row>
    <row r="93" spans="1:16" s="113" customFormat="1" ht="15.75">
      <c r="A93" s="166"/>
      <c r="B93" s="195"/>
      <c r="C93" s="38" t="s">
        <v>21</v>
      </c>
      <c r="D93" s="53"/>
      <c r="E93" s="53"/>
      <c r="F93" s="53"/>
      <c r="G93" s="53"/>
      <c r="H93" s="53"/>
      <c r="I93" s="53"/>
      <c r="J93" s="53"/>
      <c r="K93" s="53"/>
      <c r="L93" s="45"/>
      <c r="M93" s="45"/>
      <c r="N93" s="45"/>
      <c r="O93" s="45"/>
      <c r="P93" s="69"/>
    </row>
    <row r="94" spans="1:16" s="113" customFormat="1" ht="15.75">
      <c r="A94" s="166"/>
      <c r="B94" s="195"/>
      <c r="C94" s="38" t="s">
        <v>243</v>
      </c>
      <c r="D94" s="53"/>
      <c r="E94" s="53"/>
      <c r="F94" s="53"/>
      <c r="G94" s="53"/>
      <c r="H94" s="53"/>
      <c r="I94" s="53"/>
      <c r="J94" s="53"/>
      <c r="K94" s="53"/>
      <c r="L94" s="45"/>
      <c r="M94" s="45"/>
      <c r="N94" s="45"/>
      <c r="O94" s="45"/>
      <c r="P94" s="69"/>
    </row>
    <row r="95" spans="1:16" s="113" customFormat="1" ht="15.75">
      <c r="A95" s="166"/>
      <c r="B95" s="195"/>
      <c r="C95" s="38" t="s">
        <v>22</v>
      </c>
      <c r="D95" s="53"/>
      <c r="E95" s="53"/>
      <c r="F95" s="53"/>
      <c r="G95" s="53"/>
      <c r="H95" s="53"/>
      <c r="I95" s="53"/>
      <c r="J95" s="53"/>
      <c r="K95" s="53"/>
      <c r="L95" s="45"/>
      <c r="M95" s="45"/>
      <c r="N95" s="45"/>
      <c r="O95" s="45"/>
      <c r="P95" s="69"/>
    </row>
    <row r="96" spans="1:16" s="113" customFormat="1" ht="15.75">
      <c r="A96" s="166"/>
      <c r="B96" s="195"/>
      <c r="C96" s="38" t="s">
        <v>36</v>
      </c>
      <c r="D96" s="53"/>
      <c r="E96" s="53"/>
      <c r="F96" s="53"/>
      <c r="G96" s="53"/>
      <c r="H96" s="53"/>
      <c r="I96" s="53"/>
      <c r="J96" s="53"/>
      <c r="K96" s="53"/>
      <c r="L96" s="45"/>
      <c r="M96" s="45"/>
      <c r="N96" s="45"/>
      <c r="O96" s="45"/>
      <c r="P96" s="69"/>
    </row>
    <row r="97" spans="1:16" s="113" customFormat="1" ht="16.5" customHeight="1">
      <c r="A97" s="166"/>
      <c r="B97" s="195"/>
      <c r="C97" s="38" t="s">
        <v>244</v>
      </c>
      <c r="D97" s="45">
        <v>914.6</v>
      </c>
      <c r="E97" s="45">
        <v>730.83</v>
      </c>
      <c r="F97" s="45">
        <v>914.6</v>
      </c>
      <c r="G97" s="53">
        <f>G102</f>
        <v>0</v>
      </c>
      <c r="H97" s="45">
        <v>914.6</v>
      </c>
      <c r="I97" s="53">
        <v>880.78</v>
      </c>
      <c r="J97" s="45">
        <v>914.6</v>
      </c>
      <c r="K97" s="53">
        <v>880.75</v>
      </c>
      <c r="L97" s="45">
        <v>880.75</v>
      </c>
      <c r="M97" s="45">
        <v>880.75</v>
      </c>
      <c r="N97" s="45">
        <v>914.6</v>
      </c>
      <c r="O97" s="45">
        <v>914.6</v>
      </c>
      <c r="P97" s="69"/>
    </row>
    <row r="98" spans="1:16" s="113" customFormat="1" ht="15.75">
      <c r="A98" s="166"/>
      <c r="B98" s="195"/>
      <c r="C98" s="38" t="s">
        <v>23</v>
      </c>
      <c r="D98" s="53"/>
      <c r="E98" s="53"/>
      <c r="F98" s="53"/>
      <c r="G98" s="53"/>
      <c r="H98" s="53"/>
      <c r="I98" s="53"/>
      <c r="J98" s="53"/>
      <c r="K98" s="53"/>
      <c r="L98" s="45"/>
      <c r="M98" s="45"/>
      <c r="N98" s="45"/>
      <c r="O98" s="45"/>
      <c r="P98" s="69"/>
    </row>
    <row r="99" spans="1:16" s="113" customFormat="1" ht="13.5" customHeight="1">
      <c r="A99" s="166" t="s">
        <v>86</v>
      </c>
      <c r="B99" s="195" t="s">
        <v>693</v>
      </c>
      <c r="C99" s="38" t="s">
        <v>20</v>
      </c>
      <c r="D99" s="45">
        <v>6484.52</v>
      </c>
      <c r="E99" s="45">
        <v>5133.87</v>
      </c>
      <c r="F99" s="45">
        <v>1605.62</v>
      </c>
      <c r="G99" s="45">
        <v>1289.54</v>
      </c>
      <c r="H99" s="45">
        <v>3088.52</v>
      </c>
      <c r="I99" s="45">
        <v>2564.47</v>
      </c>
      <c r="J99" s="45">
        <v>4664.27</v>
      </c>
      <c r="K99" s="45">
        <v>3817.23</v>
      </c>
      <c r="L99" s="45">
        <v>5149.07</v>
      </c>
      <c r="M99" s="45">
        <v>5149.07</v>
      </c>
      <c r="N99" s="45">
        <v>6484.8</v>
      </c>
      <c r="O99" s="45">
        <v>6484.8</v>
      </c>
      <c r="P99" s="69"/>
    </row>
    <row r="100" spans="1:16" s="113" customFormat="1" ht="15.75">
      <c r="A100" s="166"/>
      <c r="B100" s="195"/>
      <c r="C100" s="38" t="s">
        <v>21</v>
      </c>
      <c r="D100" s="53"/>
      <c r="E100" s="53"/>
      <c r="F100" s="53"/>
      <c r="G100" s="53"/>
      <c r="H100" s="53"/>
      <c r="I100" s="53"/>
      <c r="J100" s="53"/>
      <c r="K100" s="53"/>
      <c r="L100" s="45"/>
      <c r="M100" s="45"/>
      <c r="N100" s="45"/>
      <c r="O100" s="45"/>
      <c r="P100" s="69"/>
    </row>
    <row r="101" spans="1:16" s="113" customFormat="1" ht="15.75">
      <c r="A101" s="166"/>
      <c r="B101" s="195"/>
      <c r="C101" s="38" t="s">
        <v>245</v>
      </c>
      <c r="D101" s="53"/>
      <c r="E101" s="53"/>
      <c r="F101" s="53"/>
      <c r="G101" s="53"/>
      <c r="H101" s="53"/>
      <c r="I101" s="53"/>
      <c r="J101" s="53"/>
      <c r="K101" s="53"/>
      <c r="L101" s="45"/>
      <c r="M101" s="45"/>
      <c r="N101" s="45"/>
      <c r="O101" s="45"/>
      <c r="P101" s="69"/>
    </row>
    <row r="102" spans="1:16" s="113" customFormat="1" ht="12.75" customHeight="1">
      <c r="A102" s="166"/>
      <c r="B102" s="195"/>
      <c r="C102" s="38" t="s">
        <v>22</v>
      </c>
      <c r="D102" s="53"/>
      <c r="E102" s="53"/>
      <c r="F102" s="53"/>
      <c r="G102" s="53"/>
      <c r="H102" s="53"/>
      <c r="I102" s="53"/>
      <c r="J102" s="53"/>
      <c r="K102" s="53"/>
      <c r="L102" s="45"/>
      <c r="M102" s="45"/>
      <c r="N102" s="45"/>
      <c r="O102" s="45"/>
      <c r="P102" s="69"/>
    </row>
    <row r="103" spans="1:16" s="113" customFormat="1" ht="15.75">
      <c r="A103" s="166"/>
      <c r="B103" s="195"/>
      <c r="C103" s="38" t="s">
        <v>36</v>
      </c>
      <c r="D103" s="53"/>
      <c r="E103" s="53"/>
      <c r="F103" s="53"/>
      <c r="G103" s="53"/>
      <c r="H103" s="53"/>
      <c r="I103" s="53"/>
      <c r="J103" s="53"/>
      <c r="K103" s="53"/>
      <c r="L103" s="45"/>
      <c r="M103" s="45"/>
      <c r="N103" s="45"/>
      <c r="O103" s="45"/>
      <c r="P103" s="69"/>
    </row>
    <row r="104" spans="1:16" s="113" customFormat="1" ht="58.5" customHeight="1">
      <c r="A104" s="166"/>
      <c r="B104" s="195"/>
      <c r="C104" s="96" t="s">
        <v>244</v>
      </c>
      <c r="D104" s="45">
        <v>6484.52</v>
      </c>
      <c r="E104" s="45">
        <v>5133.87</v>
      </c>
      <c r="F104" s="45">
        <v>1605.62</v>
      </c>
      <c r="G104" s="45">
        <v>1289.54</v>
      </c>
      <c r="H104" s="45">
        <v>3088.52</v>
      </c>
      <c r="I104" s="45">
        <v>2564.47</v>
      </c>
      <c r="J104" s="45">
        <v>4664.27</v>
      </c>
      <c r="K104" s="45">
        <v>3817.23</v>
      </c>
      <c r="L104" s="45">
        <v>5149.07</v>
      </c>
      <c r="M104" s="45">
        <v>5149.07</v>
      </c>
      <c r="N104" s="45">
        <v>6484.8</v>
      </c>
      <c r="O104" s="45">
        <v>6484.8</v>
      </c>
      <c r="P104" s="69"/>
    </row>
    <row r="105" spans="1:16" s="113" customFormat="1" ht="39" customHeight="1">
      <c r="A105" s="166"/>
      <c r="B105" s="195"/>
      <c r="C105" s="38" t="s">
        <v>23</v>
      </c>
      <c r="D105" s="53"/>
      <c r="E105" s="53"/>
      <c r="F105" s="53"/>
      <c r="G105" s="53"/>
      <c r="H105" s="53"/>
      <c r="I105" s="53"/>
      <c r="J105" s="53"/>
      <c r="K105" s="53"/>
      <c r="L105" s="45"/>
      <c r="M105" s="45"/>
      <c r="N105" s="45"/>
      <c r="O105" s="45"/>
      <c r="P105" s="69"/>
    </row>
    <row r="106" spans="1:16" s="114" customFormat="1" ht="19.5" customHeight="1">
      <c r="A106" s="147" t="s">
        <v>731</v>
      </c>
      <c r="B106" s="147" t="s">
        <v>694</v>
      </c>
      <c r="C106" s="102" t="s">
        <v>20</v>
      </c>
      <c r="D106" s="100">
        <f>D111</f>
        <v>6008.997</v>
      </c>
      <c r="E106" s="100">
        <f>'[3]7 средства по кодам'!I121/1000</f>
        <v>0</v>
      </c>
      <c r="F106" s="100">
        <f>'[3]7 средства по кодам'!J121</f>
        <v>0</v>
      </c>
      <c r="G106" s="100">
        <f>'[3]7 средства по кодам'!K121</f>
        <v>0</v>
      </c>
      <c r="H106" s="100">
        <f>'[3]7 средства по кодам'!L121/1000</f>
        <v>0</v>
      </c>
      <c r="I106" s="100">
        <f>'[3]7 средства по кодам'!M121/1000</f>
        <v>0</v>
      </c>
      <c r="J106" s="100">
        <f>J111</f>
        <v>6909.1247</v>
      </c>
      <c r="K106" s="100">
        <f>K111</f>
        <v>6909.1247</v>
      </c>
      <c r="L106" s="100">
        <f>L111</f>
        <v>7585.69871</v>
      </c>
      <c r="M106" s="100">
        <f>M111</f>
        <v>7585.69871</v>
      </c>
      <c r="N106" s="100"/>
      <c r="O106" s="53"/>
      <c r="P106" s="69"/>
    </row>
    <row r="107" spans="1:16" s="113" customFormat="1" ht="15.75">
      <c r="A107" s="147"/>
      <c r="B107" s="147"/>
      <c r="C107" s="38" t="s">
        <v>21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103"/>
    </row>
    <row r="108" spans="1:16" s="113" customFormat="1" ht="15.75">
      <c r="A108" s="147"/>
      <c r="B108" s="147"/>
      <c r="C108" s="38" t="s">
        <v>8</v>
      </c>
      <c r="D108" s="100"/>
      <c r="E108" s="100"/>
      <c r="F108" s="100"/>
      <c r="G108" s="100"/>
      <c r="H108" s="100"/>
      <c r="I108" s="100"/>
      <c r="J108" s="100"/>
      <c r="K108" s="100"/>
      <c r="L108" s="47"/>
      <c r="M108" s="47"/>
      <c r="N108" s="47"/>
      <c r="O108" s="47"/>
      <c r="P108" s="103"/>
    </row>
    <row r="109" spans="1:16" s="113" customFormat="1" ht="15.75">
      <c r="A109" s="147"/>
      <c r="B109" s="147"/>
      <c r="C109" s="38" t="s">
        <v>22</v>
      </c>
      <c r="D109" s="53"/>
      <c r="E109" s="53"/>
      <c r="F109" s="53"/>
      <c r="G109" s="53"/>
      <c r="H109" s="53"/>
      <c r="I109" s="53"/>
      <c r="J109" s="53"/>
      <c r="K109" s="53"/>
      <c r="L109" s="45"/>
      <c r="M109" s="45"/>
      <c r="N109" s="45"/>
      <c r="O109" s="45"/>
      <c r="P109" s="103"/>
    </row>
    <row r="110" spans="1:16" s="113" customFormat="1" ht="15.75">
      <c r="A110" s="147"/>
      <c r="B110" s="147"/>
      <c r="C110" s="38" t="s">
        <v>36</v>
      </c>
      <c r="D110" s="53"/>
      <c r="E110" s="53"/>
      <c r="F110" s="53"/>
      <c r="G110" s="53"/>
      <c r="H110" s="53"/>
      <c r="I110" s="53"/>
      <c r="J110" s="53"/>
      <c r="K110" s="53"/>
      <c r="L110" s="45"/>
      <c r="M110" s="45"/>
      <c r="N110" s="45"/>
      <c r="O110" s="45"/>
      <c r="P110" s="103"/>
    </row>
    <row r="111" spans="1:16" s="113" customFormat="1" ht="30">
      <c r="A111" s="147"/>
      <c r="B111" s="147"/>
      <c r="C111" s="38" t="s">
        <v>61</v>
      </c>
      <c r="D111" s="53">
        <f>'7 средства по кодам'!H138</f>
        <v>6008.997</v>
      </c>
      <c r="E111" s="53">
        <f>'7 средства по кодам'!I138</f>
        <v>2994.7143</v>
      </c>
      <c r="F111" s="53">
        <f>'7 средства по кодам'!J138</f>
        <v>0</v>
      </c>
      <c r="G111" s="53">
        <f>'7 средства по кодам'!K138</f>
        <v>0</v>
      </c>
      <c r="H111" s="53">
        <f>'7 средства по кодам'!L138</f>
        <v>5361.53671</v>
      </c>
      <c r="I111" s="53">
        <f>'7 средства по кодам'!M138</f>
        <v>5361.53671</v>
      </c>
      <c r="J111" s="53">
        <f>'7 средства по кодам'!N138</f>
        <v>6909.1247</v>
      </c>
      <c r="K111" s="53">
        <f>'7 средства по кодам'!O138</f>
        <v>6909.1247</v>
      </c>
      <c r="L111" s="53">
        <f>'7 средства по кодам'!P138</f>
        <v>7585.69871</v>
      </c>
      <c r="M111" s="53">
        <f>'7 средства по кодам'!Q138</f>
        <v>7585.69871</v>
      </c>
      <c r="N111" s="53"/>
      <c r="O111" s="53"/>
      <c r="P111" s="103"/>
    </row>
    <row r="112" spans="1:16" s="113" customFormat="1" ht="16.5" customHeight="1">
      <c r="A112" s="147"/>
      <c r="B112" s="147"/>
      <c r="C112" s="38" t="s">
        <v>23</v>
      </c>
      <c r="D112" s="53"/>
      <c r="E112" s="53"/>
      <c r="F112" s="53"/>
      <c r="G112" s="53"/>
      <c r="H112" s="53"/>
      <c r="I112" s="53"/>
      <c r="J112" s="53"/>
      <c r="K112" s="53"/>
      <c r="L112" s="45"/>
      <c r="M112" s="45"/>
      <c r="N112" s="45"/>
      <c r="O112" s="45"/>
      <c r="P112" s="103"/>
    </row>
    <row r="113" spans="1:16" s="114" customFormat="1" ht="19.5" customHeight="1">
      <c r="A113" s="147" t="s">
        <v>732</v>
      </c>
      <c r="B113" s="147" t="s">
        <v>696</v>
      </c>
      <c r="C113" s="102" t="s">
        <v>20</v>
      </c>
      <c r="D113" s="100">
        <f>D118</f>
        <v>0</v>
      </c>
      <c r="E113" s="100">
        <f>'[3]7 средства по кодам'!I128/1000</f>
        <v>0</v>
      </c>
      <c r="F113" s="100">
        <f>'[3]7 средства по кодам'!J128</f>
        <v>0</v>
      </c>
      <c r="G113" s="100">
        <f>'[3]7 средства по кодам'!K128</f>
        <v>0</v>
      </c>
      <c r="H113" s="100">
        <f>'[3]7 средства по кодам'!L128/1000</f>
        <v>0</v>
      </c>
      <c r="I113" s="100">
        <f>'[3]7 средства по кодам'!M128/1000</f>
        <v>0</v>
      </c>
      <c r="J113" s="100">
        <f aca="true" t="shared" si="16" ref="J113:O113">J118</f>
        <v>5401.76</v>
      </c>
      <c r="K113" s="100">
        <f t="shared" si="16"/>
        <v>5401.76</v>
      </c>
      <c r="L113" s="100">
        <f t="shared" si="16"/>
        <v>5401.76</v>
      </c>
      <c r="M113" s="100">
        <f t="shared" si="16"/>
        <v>5401.76</v>
      </c>
      <c r="N113" s="100">
        <f t="shared" si="16"/>
        <v>8183.51616</v>
      </c>
      <c r="O113" s="100">
        <f t="shared" si="16"/>
        <v>6795.67</v>
      </c>
      <c r="P113" s="69"/>
    </row>
    <row r="114" spans="1:16" s="113" customFormat="1" ht="15.75">
      <c r="A114" s="147"/>
      <c r="B114" s="147"/>
      <c r="C114" s="38" t="s">
        <v>21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103"/>
    </row>
    <row r="115" spans="1:16" s="113" customFormat="1" ht="15.75">
      <c r="A115" s="147"/>
      <c r="B115" s="147"/>
      <c r="C115" s="38" t="s">
        <v>8</v>
      </c>
      <c r="D115" s="100"/>
      <c r="E115" s="100"/>
      <c r="F115" s="100"/>
      <c r="G115" s="100"/>
      <c r="H115" s="100"/>
      <c r="I115" s="100"/>
      <c r="J115" s="100"/>
      <c r="K115" s="100"/>
      <c r="L115" s="47"/>
      <c r="M115" s="47"/>
      <c r="N115" s="47"/>
      <c r="O115" s="47"/>
      <c r="P115" s="103"/>
    </row>
    <row r="116" spans="1:16" s="113" customFormat="1" ht="15.75">
      <c r="A116" s="147"/>
      <c r="B116" s="147"/>
      <c r="C116" s="38" t="s">
        <v>22</v>
      </c>
      <c r="D116" s="53"/>
      <c r="E116" s="53"/>
      <c r="F116" s="53"/>
      <c r="G116" s="53"/>
      <c r="H116" s="53"/>
      <c r="I116" s="53"/>
      <c r="J116" s="53"/>
      <c r="K116" s="53"/>
      <c r="L116" s="45"/>
      <c r="M116" s="45"/>
      <c r="N116" s="45"/>
      <c r="O116" s="45"/>
      <c r="P116" s="103"/>
    </row>
    <row r="117" spans="1:16" s="113" customFormat="1" ht="15.75">
      <c r="A117" s="147"/>
      <c r="B117" s="147"/>
      <c r="C117" s="38" t="s">
        <v>36</v>
      </c>
      <c r="D117" s="53"/>
      <c r="E117" s="53"/>
      <c r="F117" s="53"/>
      <c r="G117" s="53"/>
      <c r="H117" s="53"/>
      <c r="I117" s="53"/>
      <c r="J117" s="53"/>
      <c r="K117" s="53"/>
      <c r="L117" s="45"/>
      <c r="M117" s="45"/>
      <c r="N117" s="45"/>
      <c r="O117" s="45"/>
      <c r="P117" s="103"/>
    </row>
    <row r="118" spans="1:16" s="113" customFormat="1" ht="30">
      <c r="A118" s="147"/>
      <c r="B118" s="147"/>
      <c r="C118" s="38" t="s">
        <v>61</v>
      </c>
      <c r="D118" s="53">
        <f>'7 средства по кодам'!H142</f>
        <v>0</v>
      </c>
      <c r="E118" s="53">
        <f>'7 средства по кодам'!I142</f>
        <v>0</v>
      </c>
      <c r="F118" s="53">
        <f>'7 средства по кодам'!J142</f>
        <v>0</v>
      </c>
      <c r="G118" s="53">
        <f>'7 средства по кодам'!K142</f>
        <v>0</v>
      </c>
      <c r="H118" s="53">
        <f>'7 средства по кодам'!L142</f>
        <v>0</v>
      </c>
      <c r="I118" s="53">
        <f>'7 средства по кодам'!M142</f>
        <v>0</v>
      </c>
      <c r="J118" s="53">
        <f>'7 средства по кодам'!N142</f>
        <v>5401.76</v>
      </c>
      <c r="K118" s="53">
        <f>'7 средства по кодам'!O142</f>
        <v>5401.76</v>
      </c>
      <c r="L118" s="53">
        <f>'7 средства по кодам'!P142</f>
        <v>5401.76</v>
      </c>
      <c r="M118" s="53">
        <f>'7 средства по кодам'!Q142</f>
        <v>5401.76</v>
      </c>
      <c r="N118" s="53">
        <f>'7 средства по кодам'!R142</f>
        <v>8183.51616</v>
      </c>
      <c r="O118" s="53">
        <f>'7 средства по кодам'!S142</f>
        <v>6795.67</v>
      </c>
      <c r="P118" s="103"/>
    </row>
    <row r="119" spans="1:16" s="113" customFormat="1" ht="16.5" customHeight="1">
      <c r="A119" s="147"/>
      <c r="B119" s="147"/>
      <c r="C119" s="38" t="s">
        <v>23</v>
      </c>
      <c r="D119" s="53"/>
      <c r="E119" s="53"/>
      <c r="F119" s="53"/>
      <c r="G119" s="53"/>
      <c r="H119" s="53"/>
      <c r="I119" s="53"/>
      <c r="J119" s="53"/>
      <c r="K119" s="53"/>
      <c r="L119" s="45"/>
      <c r="M119" s="45"/>
      <c r="N119" s="45"/>
      <c r="O119" s="45"/>
      <c r="P119" s="103"/>
    </row>
    <row r="120" spans="1:16" s="115" customFormat="1" ht="13.5" customHeight="1">
      <c r="A120" s="194" t="s">
        <v>733</v>
      </c>
      <c r="B120" s="194" t="s">
        <v>314</v>
      </c>
      <c r="C120" s="39" t="s">
        <v>20</v>
      </c>
      <c r="D120" s="45">
        <f aca="true" t="shared" si="17" ref="D120:K120">D127+D134+D141+D148</f>
        <v>66968.97</v>
      </c>
      <c r="E120" s="45">
        <f t="shared" si="17"/>
        <v>66968.95999999999</v>
      </c>
      <c r="F120" s="45">
        <f t="shared" si="17"/>
        <v>4495.45</v>
      </c>
      <c r="G120" s="45">
        <f t="shared" si="17"/>
        <v>4495.45</v>
      </c>
      <c r="H120" s="45">
        <f t="shared" si="17"/>
        <v>5622.54</v>
      </c>
      <c r="I120" s="45">
        <f t="shared" si="17"/>
        <v>5410.89</v>
      </c>
      <c r="J120" s="45">
        <f t="shared" si="17"/>
        <v>8049.56</v>
      </c>
      <c r="K120" s="45">
        <f t="shared" si="17"/>
        <v>8074.56</v>
      </c>
      <c r="L120" s="45">
        <f>L127+L134+L141+L148</f>
        <v>40759.55</v>
      </c>
      <c r="M120" s="45">
        <f>M127+M134+M141+M148</f>
        <v>40672.399999999994</v>
      </c>
      <c r="N120" s="45">
        <f>N127+N134+N141+N148</f>
        <v>13078.39</v>
      </c>
      <c r="O120" s="53"/>
      <c r="P120" s="69"/>
    </row>
    <row r="121" spans="1:16" s="115" customFormat="1" ht="15.75">
      <c r="A121" s="194"/>
      <c r="B121" s="194"/>
      <c r="C121" s="39" t="s">
        <v>21</v>
      </c>
      <c r="D121" s="53"/>
      <c r="E121" s="53"/>
      <c r="F121" s="53"/>
      <c r="G121" s="53"/>
      <c r="H121" s="53"/>
      <c r="I121" s="53"/>
      <c r="J121" s="53"/>
      <c r="K121" s="53"/>
      <c r="L121" s="45"/>
      <c r="M121" s="45"/>
      <c r="N121" s="53"/>
      <c r="O121" s="53"/>
      <c r="P121" s="69"/>
    </row>
    <row r="122" spans="1:16" s="115" customFormat="1" ht="15.75">
      <c r="A122" s="194"/>
      <c r="B122" s="194"/>
      <c r="C122" s="39" t="s">
        <v>8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5"/>
      <c r="P122" s="104"/>
    </row>
    <row r="123" spans="1:16" s="115" customFormat="1" ht="15.75">
      <c r="A123" s="194"/>
      <c r="B123" s="194"/>
      <c r="C123" s="39" t="s">
        <v>22</v>
      </c>
      <c r="D123" s="45">
        <f aca="true" t="shared" si="18" ref="D123:K123">D137+D144+D130+D151</f>
        <v>53673.64</v>
      </c>
      <c r="E123" s="45">
        <f t="shared" si="18"/>
        <v>53673.64</v>
      </c>
      <c r="F123" s="45">
        <f t="shared" si="18"/>
        <v>0</v>
      </c>
      <c r="G123" s="45">
        <f t="shared" si="18"/>
        <v>0</v>
      </c>
      <c r="H123" s="45">
        <f t="shared" si="18"/>
        <v>458.67</v>
      </c>
      <c r="I123" s="45">
        <f t="shared" si="18"/>
        <v>458.67</v>
      </c>
      <c r="J123" s="45">
        <f t="shared" si="18"/>
        <v>867.34</v>
      </c>
      <c r="K123" s="45">
        <f t="shared" si="18"/>
        <v>892.34</v>
      </c>
      <c r="L123" s="45">
        <f>L137+L144+L130+L151</f>
        <v>23832.2</v>
      </c>
      <c r="M123" s="45">
        <f>M137+M144+M130+M151</f>
        <v>23745.05</v>
      </c>
      <c r="N123" s="45">
        <f>N137+N144+N130+N151</f>
        <v>493.9</v>
      </c>
      <c r="O123" s="45"/>
      <c r="P123" s="103"/>
    </row>
    <row r="124" spans="1:16" s="115" customFormat="1" ht="15.75">
      <c r="A124" s="194"/>
      <c r="B124" s="194"/>
      <c r="C124" s="39" t="s">
        <v>36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103"/>
    </row>
    <row r="125" spans="1:16" s="115" customFormat="1" ht="30">
      <c r="A125" s="194"/>
      <c r="B125" s="194"/>
      <c r="C125" s="39" t="s">
        <v>61</v>
      </c>
      <c r="D125" s="45">
        <f aca="true" t="shared" si="19" ref="D125:K125">D132+D139+D153+D160</f>
        <v>23682.76181765</v>
      </c>
      <c r="E125" s="45">
        <f t="shared" si="19"/>
        <v>16797.77576821</v>
      </c>
      <c r="F125" s="45">
        <f t="shared" si="19"/>
        <v>4497.11156803</v>
      </c>
      <c r="G125" s="45">
        <f t="shared" si="19"/>
        <v>4497.11156803</v>
      </c>
      <c r="H125" s="45">
        <f t="shared" si="19"/>
        <v>5166.80199481</v>
      </c>
      <c r="I125" s="45">
        <f t="shared" si="19"/>
        <v>4955.15199481</v>
      </c>
      <c r="J125" s="45">
        <f t="shared" si="19"/>
        <v>7186.20964075</v>
      </c>
      <c r="K125" s="45">
        <f t="shared" si="19"/>
        <v>7186.20964075</v>
      </c>
      <c r="L125" s="45">
        <f>L132+L139+L153+L160</f>
        <v>23903.69418648</v>
      </c>
      <c r="M125" s="45">
        <f>M132+M139+M153+M160</f>
        <v>17131.438186479998</v>
      </c>
      <c r="N125" s="45">
        <f>N132+N139+N153+N160</f>
        <v>13003.072778</v>
      </c>
      <c r="O125" s="45"/>
      <c r="P125" s="103"/>
    </row>
    <row r="126" spans="1:16" s="115" customFormat="1" ht="15.75">
      <c r="A126" s="194"/>
      <c r="B126" s="194"/>
      <c r="C126" s="39" t="s">
        <v>23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103"/>
    </row>
    <row r="127" spans="1:16" s="113" customFormat="1" ht="25.5" customHeight="1">
      <c r="A127" s="158" t="s">
        <v>31</v>
      </c>
      <c r="B127" s="195" t="s">
        <v>673</v>
      </c>
      <c r="C127" s="38" t="s">
        <v>20</v>
      </c>
      <c r="D127" s="53">
        <f>D129+D130+D131+D132</f>
        <v>13272.33</v>
      </c>
      <c r="E127" s="53">
        <f aca="true" t="shared" si="20" ref="E127:N127">E129+E130+E131+E132</f>
        <v>13272.32</v>
      </c>
      <c r="F127" s="53">
        <f t="shared" si="20"/>
        <v>4495.45</v>
      </c>
      <c r="G127" s="53">
        <f t="shared" si="20"/>
        <v>4495.45</v>
      </c>
      <c r="H127" s="53">
        <f t="shared" si="20"/>
        <v>5138.87</v>
      </c>
      <c r="I127" s="53">
        <f t="shared" si="20"/>
        <v>4927.22</v>
      </c>
      <c r="J127" s="53">
        <f t="shared" si="20"/>
        <v>7182.22</v>
      </c>
      <c r="K127" s="53">
        <f t="shared" si="20"/>
        <v>7182.22</v>
      </c>
      <c r="L127" s="53">
        <f t="shared" si="20"/>
        <v>16902.35</v>
      </c>
      <c r="M127" s="53">
        <f t="shared" si="20"/>
        <v>16902.35</v>
      </c>
      <c r="N127" s="53">
        <f t="shared" si="20"/>
        <v>12287.8</v>
      </c>
      <c r="O127" s="53"/>
      <c r="P127" s="103"/>
    </row>
    <row r="128" spans="1:16" s="113" customFormat="1" ht="15.75">
      <c r="A128" s="158"/>
      <c r="B128" s="195"/>
      <c r="C128" s="38" t="s">
        <v>21</v>
      </c>
      <c r="D128" s="45"/>
      <c r="E128" s="45"/>
      <c r="F128" s="53"/>
      <c r="G128" s="53"/>
      <c r="H128" s="53"/>
      <c r="I128" s="53"/>
      <c r="J128" s="53"/>
      <c r="K128" s="53"/>
      <c r="L128" s="53"/>
      <c r="M128" s="53"/>
      <c r="N128" s="53"/>
      <c r="O128" s="45"/>
      <c r="P128" s="103"/>
    </row>
    <row r="129" spans="1:16" s="113" customFormat="1" ht="15.75">
      <c r="A129" s="158"/>
      <c r="B129" s="195"/>
      <c r="C129" s="38" t="s">
        <v>8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103"/>
    </row>
    <row r="130" spans="1:16" s="113" customFormat="1" ht="15.75">
      <c r="A130" s="158"/>
      <c r="B130" s="195"/>
      <c r="C130" s="38" t="s">
        <v>22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103"/>
    </row>
    <row r="131" spans="1:16" s="113" customFormat="1" ht="15.75">
      <c r="A131" s="158"/>
      <c r="B131" s="195"/>
      <c r="C131" s="38" t="s">
        <v>36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103"/>
    </row>
    <row r="132" spans="1:16" s="113" customFormat="1" ht="30">
      <c r="A132" s="158"/>
      <c r="B132" s="195"/>
      <c r="C132" s="38" t="s">
        <v>32</v>
      </c>
      <c r="D132" s="45">
        <v>13272.33</v>
      </c>
      <c r="E132" s="45">
        <v>13272.32</v>
      </c>
      <c r="F132" s="53">
        <v>4495.45</v>
      </c>
      <c r="G132" s="53">
        <v>4495.45</v>
      </c>
      <c r="H132" s="53">
        <v>5138.87</v>
      </c>
      <c r="I132" s="53">
        <v>4927.22</v>
      </c>
      <c r="J132" s="53">
        <v>7182.22</v>
      </c>
      <c r="K132" s="53">
        <v>7182.22</v>
      </c>
      <c r="L132" s="45">
        <v>16902.35</v>
      </c>
      <c r="M132" s="45">
        <v>16902.35</v>
      </c>
      <c r="N132" s="45">
        <v>12287.8</v>
      </c>
      <c r="O132" s="45"/>
      <c r="P132" s="103"/>
    </row>
    <row r="133" spans="1:16" s="113" customFormat="1" ht="15.75">
      <c r="A133" s="158"/>
      <c r="B133" s="195"/>
      <c r="C133" s="38" t="s">
        <v>23</v>
      </c>
      <c r="D133" s="45"/>
      <c r="E133" s="45"/>
      <c r="F133" s="117"/>
      <c r="G133" s="117"/>
      <c r="H133" s="117"/>
      <c r="I133" s="117"/>
      <c r="J133" s="117"/>
      <c r="K133" s="53"/>
      <c r="L133" s="45"/>
      <c r="M133" s="45"/>
      <c r="N133" s="45"/>
      <c r="O133" s="45"/>
      <c r="P133" s="103"/>
    </row>
    <row r="134" spans="1:16" s="113" customFormat="1" ht="25.5" customHeight="1">
      <c r="A134" s="158" t="s">
        <v>86</v>
      </c>
      <c r="B134" s="195" t="s">
        <v>674</v>
      </c>
      <c r="C134" s="38" t="s">
        <v>20</v>
      </c>
      <c r="D134" s="53">
        <f>D136+D137+D138+D139+D140</f>
        <v>2015.64</v>
      </c>
      <c r="E134" s="53">
        <f>E136+E137+E138+E139+E140</f>
        <v>2015.64</v>
      </c>
      <c r="F134" s="53">
        <v>0</v>
      </c>
      <c r="G134" s="53">
        <v>0</v>
      </c>
      <c r="H134" s="53">
        <f>H137+H139</f>
        <v>483.67</v>
      </c>
      <c r="I134" s="53">
        <f aca="true" t="shared" si="21" ref="I134:N134">I137+I139</f>
        <v>483.67</v>
      </c>
      <c r="J134" s="53">
        <f t="shared" si="21"/>
        <v>867.34</v>
      </c>
      <c r="K134" s="53">
        <f>K137+K139</f>
        <v>892.34</v>
      </c>
      <c r="L134" s="45">
        <f>L137+L139</f>
        <v>1962.64</v>
      </c>
      <c r="M134" s="45">
        <f>M137+M139</f>
        <v>1962.64</v>
      </c>
      <c r="N134" s="53">
        <f t="shared" si="21"/>
        <v>790.5899999999999</v>
      </c>
      <c r="O134" s="53"/>
      <c r="P134" s="103"/>
    </row>
    <row r="135" spans="1:16" s="113" customFormat="1" ht="15.75">
      <c r="A135" s="158"/>
      <c r="B135" s="195"/>
      <c r="C135" s="38" t="s">
        <v>21</v>
      </c>
      <c r="D135" s="45"/>
      <c r="E135" s="45"/>
      <c r="F135" s="53"/>
      <c r="G135" s="53"/>
      <c r="H135" s="53"/>
      <c r="I135" s="53"/>
      <c r="J135" s="117"/>
      <c r="K135" s="53"/>
      <c r="L135" s="45"/>
      <c r="M135" s="45"/>
      <c r="N135" s="45"/>
      <c r="O135" s="45"/>
      <c r="P135" s="103"/>
    </row>
    <row r="136" spans="1:16" s="113" customFormat="1" ht="15.75">
      <c r="A136" s="158"/>
      <c r="B136" s="195"/>
      <c r="C136" s="38" t="s">
        <v>8</v>
      </c>
      <c r="D136" s="45"/>
      <c r="E136" s="45"/>
      <c r="F136" s="53"/>
      <c r="G136" s="53"/>
      <c r="H136" s="53"/>
      <c r="I136" s="53"/>
      <c r="J136" s="111"/>
      <c r="K136" s="53"/>
      <c r="L136" s="45"/>
      <c r="M136" s="45"/>
      <c r="N136" s="45"/>
      <c r="O136" s="45"/>
      <c r="P136" s="103"/>
    </row>
    <row r="137" spans="1:16" s="113" customFormat="1" ht="15.75">
      <c r="A137" s="158"/>
      <c r="B137" s="195"/>
      <c r="C137" s="38" t="s">
        <v>22</v>
      </c>
      <c r="D137" s="45">
        <v>2015.64</v>
      </c>
      <c r="E137" s="45">
        <v>2015.64</v>
      </c>
      <c r="F137" s="53">
        <v>0</v>
      </c>
      <c r="G137" s="53">
        <v>0</v>
      </c>
      <c r="H137" s="53">
        <v>458.67</v>
      </c>
      <c r="I137" s="53">
        <v>458.67</v>
      </c>
      <c r="J137" s="111">
        <v>867.34</v>
      </c>
      <c r="K137" s="53">
        <v>892.34</v>
      </c>
      <c r="L137" s="45">
        <v>1937.64</v>
      </c>
      <c r="M137" s="45">
        <v>1937.64</v>
      </c>
      <c r="N137" s="45">
        <v>493.9</v>
      </c>
      <c r="O137" s="45"/>
      <c r="P137" s="103"/>
    </row>
    <row r="138" spans="1:16" s="113" customFormat="1" ht="15.75">
      <c r="A138" s="158"/>
      <c r="B138" s="195"/>
      <c r="C138" s="38" t="s">
        <v>36</v>
      </c>
      <c r="D138" s="45"/>
      <c r="E138" s="45"/>
      <c r="F138" s="53"/>
      <c r="G138" s="53"/>
      <c r="H138" s="53"/>
      <c r="I138" s="53"/>
      <c r="J138" s="111"/>
      <c r="K138" s="53"/>
      <c r="L138" s="45"/>
      <c r="M138" s="45"/>
      <c r="N138" s="45"/>
      <c r="O138" s="45"/>
      <c r="P138" s="103"/>
    </row>
    <row r="139" spans="1:16" s="113" customFormat="1" ht="30">
      <c r="A139" s="158"/>
      <c r="B139" s="195"/>
      <c r="C139" s="38" t="s">
        <v>32</v>
      </c>
      <c r="D139" s="45"/>
      <c r="E139" s="45"/>
      <c r="F139" s="53">
        <v>0</v>
      </c>
      <c r="G139" s="53">
        <v>0</v>
      </c>
      <c r="H139" s="53">
        <v>25</v>
      </c>
      <c r="I139" s="53">
        <v>25</v>
      </c>
      <c r="J139" s="111">
        <v>0</v>
      </c>
      <c r="K139" s="53">
        <v>0</v>
      </c>
      <c r="L139" s="45">
        <v>25</v>
      </c>
      <c r="M139" s="45">
        <v>25</v>
      </c>
      <c r="N139" s="45">
        <v>296.69</v>
      </c>
      <c r="O139" s="45"/>
      <c r="P139" s="103"/>
    </row>
    <row r="140" spans="1:16" s="113" customFormat="1" ht="15.75">
      <c r="A140" s="158"/>
      <c r="B140" s="195"/>
      <c r="C140" s="38" t="s">
        <v>23</v>
      </c>
      <c r="D140" s="53"/>
      <c r="E140" s="53"/>
      <c r="F140" s="117"/>
      <c r="G140" s="117"/>
      <c r="H140" s="117"/>
      <c r="I140" s="117"/>
      <c r="J140" s="117"/>
      <c r="K140" s="53"/>
      <c r="L140" s="45"/>
      <c r="M140" s="45"/>
      <c r="N140" s="45"/>
      <c r="O140" s="45"/>
      <c r="P140" s="103"/>
    </row>
    <row r="141" spans="1:16" s="113" customFormat="1" ht="13.5" customHeight="1">
      <c r="A141" s="166" t="s">
        <v>366</v>
      </c>
      <c r="B141" s="195" t="s">
        <v>675</v>
      </c>
      <c r="C141" s="38" t="s">
        <v>20</v>
      </c>
      <c r="D141" s="53">
        <f>D144+D146</f>
        <v>51681</v>
      </c>
      <c r="E141" s="53">
        <f>E144+E146</f>
        <v>51681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45">
        <f>L144+L146</f>
        <v>21894.56</v>
      </c>
      <c r="M141" s="45">
        <f>M144+M146</f>
        <v>21807.41</v>
      </c>
      <c r="N141" s="45">
        <f>N144+N146</f>
        <v>0</v>
      </c>
      <c r="O141" s="47"/>
      <c r="P141" s="103"/>
    </row>
    <row r="142" spans="1:16" s="113" customFormat="1" ht="15.75">
      <c r="A142" s="166"/>
      <c r="B142" s="195"/>
      <c r="C142" s="38" t="s">
        <v>21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45"/>
      <c r="P142" s="103"/>
    </row>
    <row r="143" spans="1:16" s="113" customFormat="1" ht="15.75">
      <c r="A143" s="166"/>
      <c r="B143" s="195"/>
      <c r="C143" s="38" t="s">
        <v>243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45"/>
      <c r="P143" s="103"/>
    </row>
    <row r="144" spans="1:16" s="113" customFormat="1" ht="15.75">
      <c r="A144" s="166"/>
      <c r="B144" s="195"/>
      <c r="C144" s="38" t="s">
        <v>22</v>
      </c>
      <c r="D144" s="53">
        <v>51658</v>
      </c>
      <c r="E144" s="53">
        <v>51658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45">
        <v>21894.56</v>
      </c>
      <c r="M144" s="45">
        <v>21807.41</v>
      </c>
      <c r="N144" s="45">
        <f>'[4]7 средства по кодам'!R179/1000</f>
        <v>0</v>
      </c>
      <c r="O144" s="45"/>
      <c r="P144" s="103"/>
    </row>
    <row r="145" spans="1:16" s="113" customFormat="1" ht="15.75">
      <c r="A145" s="166"/>
      <c r="B145" s="195"/>
      <c r="C145" s="38" t="s">
        <v>36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45"/>
      <c r="P145" s="103"/>
    </row>
    <row r="146" spans="1:16" s="113" customFormat="1" ht="30">
      <c r="A146" s="166"/>
      <c r="B146" s="195"/>
      <c r="C146" s="38" t="s">
        <v>244</v>
      </c>
      <c r="D146" s="53">
        <v>23</v>
      </c>
      <c r="E146" s="53">
        <v>23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f>('[4]7 средства по кодам'!R185+'[4]7 средства по кодам'!R188)/1000</f>
        <v>0</v>
      </c>
      <c r="O146" s="45"/>
      <c r="P146" s="103"/>
    </row>
    <row r="147" spans="1:16" s="113" customFormat="1" ht="15.75">
      <c r="A147" s="166"/>
      <c r="B147" s="195"/>
      <c r="C147" s="38" t="s">
        <v>23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45"/>
      <c r="P147" s="103"/>
    </row>
    <row r="148" spans="1:16" s="113" customFormat="1" ht="15.75">
      <c r="A148" s="166" t="s">
        <v>371</v>
      </c>
      <c r="B148" s="195" t="s">
        <v>676</v>
      </c>
      <c r="C148" s="38" t="s">
        <v>20</v>
      </c>
      <c r="D148" s="53">
        <f>D153</f>
        <v>0</v>
      </c>
      <c r="E148" s="53">
        <f>E153</f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f>J153</f>
        <v>0</v>
      </c>
      <c r="K148" s="53">
        <f>K153</f>
        <v>0</v>
      </c>
      <c r="L148" s="45">
        <f>L153</f>
        <v>0</v>
      </c>
      <c r="M148" s="45">
        <f>M153</f>
        <v>0</v>
      </c>
      <c r="N148" s="45">
        <f>N153</f>
        <v>0</v>
      </c>
      <c r="O148" s="47"/>
      <c r="P148" s="103"/>
    </row>
    <row r="149" spans="1:16" s="113" customFormat="1" ht="20.25" customHeight="1">
      <c r="A149" s="166"/>
      <c r="B149" s="195"/>
      <c r="C149" s="38" t="s">
        <v>21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45"/>
      <c r="P149" s="103"/>
    </row>
    <row r="150" spans="1:16" s="113" customFormat="1" ht="15.75">
      <c r="A150" s="166"/>
      <c r="B150" s="195"/>
      <c r="C150" s="38" t="s">
        <v>243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45"/>
      <c r="P150" s="103"/>
    </row>
    <row r="151" spans="1:18" s="113" customFormat="1" ht="15.75">
      <c r="A151" s="166"/>
      <c r="B151" s="195"/>
      <c r="C151" s="38" t="s">
        <v>22</v>
      </c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45"/>
      <c r="P151" s="103"/>
      <c r="Q151" s="116"/>
      <c r="R151" s="116"/>
    </row>
    <row r="152" spans="1:16" s="113" customFormat="1" ht="15.75">
      <c r="A152" s="166"/>
      <c r="B152" s="195"/>
      <c r="C152" s="38" t="s">
        <v>36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45"/>
      <c r="P152" s="103"/>
    </row>
    <row r="153" spans="1:16" s="37" customFormat="1" ht="30" customHeight="1">
      <c r="A153" s="166"/>
      <c r="B153" s="195"/>
      <c r="C153" s="38" t="s">
        <v>244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45"/>
      <c r="P153" s="103"/>
    </row>
    <row r="154" spans="1:16" s="113" customFormat="1" ht="14.25" customHeight="1">
      <c r="A154" s="166"/>
      <c r="B154" s="195"/>
      <c r="C154" s="38" t="s">
        <v>23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45"/>
      <c r="P154" s="103"/>
    </row>
    <row r="155" spans="1:16" s="57" customFormat="1" ht="13.5" customHeight="1">
      <c r="A155" s="147" t="s">
        <v>734</v>
      </c>
      <c r="B155" s="147" t="s">
        <v>677</v>
      </c>
      <c r="C155" s="97" t="s">
        <v>20</v>
      </c>
      <c r="D155" s="100">
        <f>D159+D160</f>
        <v>10410.43181765</v>
      </c>
      <c r="E155" s="100">
        <f aca="true" t="shared" si="22" ref="E155:M155">E159+E160</f>
        <v>3525.4557682100003</v>
      </c>
      <c r="F155" s="100">
        <f t="shared" si="22"/>
        <v>1.6615680300000002</v>
      </c>
      <c r="G155" s="100">
        <f t="shared" si="22"/>
        <v>1.6615680300000002</v>
      </c>
      <c r="H155" s="100">
        <f t="shared" si="22"/>
        <v>2.93199481</v>
      </c>
      <c r="I155" s="100">
        <f t="shared" si="22"/>
        <v>2.93199481</v>
      </c>
      <c r="J155" s="100">
        <f t="shared" si="22"/>
        <v>3.9896407500000004</v>
      </c>
      <c r="K155" s="100">
        <f>K159+K160</f>
        <v>3.9896407500000004</v>
      </c>
      <c r="L155" s="100">
        <f t="shared" si="22"/>
        <v>6976.344186480001</v>
      </c>
      <c r="M155" s="100">
        <f t="shared" si="22"/>
        <v>204.08818648</v>
      </c>
      <c r="N155" s="100">
        <f>N159+N160</f>
        <v>418.582778</v>
      </c>
      <c r="O155" s="100"/>
      <c r="P155" s="97"/>
    </row>
    <row r="156" spans="1:16" ht="15.75">
      <c r="A156" s="147"/>
      <c r="B156" s="147"/>
      <c r="C156" s="69" t="s">
        <v>21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69"/>
    </row>
    <row r="157" spans="1:16" ht="15.75">
      <c r="A157" s="147"/>
      <c r="B157" s="147"/>
      <c r="C157" s="69" t="s">
        <v>8</v>
      </c>
      <c r="D157" s="100"/>
      <c r="E157" s="100"/>
      <c r="F157" s="100"/>
      <c r="G157" s="100"/>
      <c r="H157" s="100"/>
      <c r="I157" s="100"/>
      <c r="J157" s="100"/>
      <c r="K157" s="100"/>
      <c r="L157" s="47"/>
      <c r="M157" s="47"/>
      <c r="N157" s="47"/>
      <c r="O157" s="47"/>
      <c r="P157" s="104"/>
    </row>
    <row r="158" spans="1:16" ht="15.75">
      <c r="A158" s="147"/>
      <c r="B158" s="147"/>
      <c r="C158" s="69" t="s">
        <v>22</v>
      </c>
      <c r="D158" s="53"/>
      <c r="E158" s="53"/>
      <c r="F158" s="53"/>
      <c r="G158" s="53"/>
      <c r="H158" s="53"/>
      <c r="I158" s="53"/>
      <c r="J158" s="53"/>
      <c r="K158" s="53"/>
      <c r="L158" s="45"/>
      <c r="M158" s="45"/>
      <c r="N158" s="45"/>
      <c r="O158" s="45"/>
      <c r="P158" s="103"/>
    </row>
    <row r="159" spans="1:16" ht="15" customHeight="1">
      <c r="A159" s="147"/>
      <c r="B159" s="147"/>
      <c r="C159" s="69" t="s">
        <v>36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103"/>
    </row>
    <row r="160" spans="1:16" ht="30">
      <c r="A160" s="147"/>
      <c r="B160" s="147"/>
      <c r="C160" s="69" t="s">
        <v>61</v>
      </c>
      <c r="D160" s="53">
        <f>D167+D174+D181+D188+D195+D202+D209+D216+D223</f>
        <v>10410.43181765</v>
      </c>
      <c r="E160" s="53">
        <f>E167+E174+E181+E188+E195+E202+E209+E216+E223</f>
        <v>3525.4557682100003</v>
      </c>
      <c r="F160" s="53">
        <f aca="true" t="shared" si="23" ref="F160:M160">F167+F174+F181+F188+F195+F202+F209+F216+F223</f>
        <v>1.6615680300000002</v>
      </c>
      <c r="G160" s="53">
        <f t="shared" si="23"/>
        <v>1.6615680300000002</v>
      </c>
      <c r="H160" s="53">
        <f t="shared" si="23"/>
        <v>2.93199481</v>
      </c>
      <c r="I160" s="53">
        <f t="shared" si="23"/>
        <v>2.93199481</v>
      </c>
      <c r="J160" s="53">
        <f t="shared" si="23"/>
        <v>3.9896407500000004</v>
      </c>
      <c r="K160" s="53">
        <f t="shared" si="23"/>
        <v>3.9896407500000004</v>
      </c>
      <c r="L160" s="53">
        <f>L167+L174+L181+L188+L195+L202+L209+L216+L223</f>
        <v>6976.344186480001</v>
      </c>
      <c r="M160" s="53">
        <f t="shared" si="23"/>
        <v>204.08818648</v>
      </c>
      <c r="N160" s="53">
        <f>N167+N174+N181+N188+N195+N202+N209+N216+N223</f>
        <v>418.582778</v>
      </c>
      <c r="O160" s="53"/>
      <c r="P160" s="103"/>
    </row>
    <row r="161" spans="1:16" ht="15.75">
      <c r="A161" s="147"/>
      <c r="B161" s="147"/>
      <c r="C161" s="69" t="s">
        <v>23</v>
      </c>
      <c r="D161" s="53"/>
      <c r="E161" s="53"/>
      <c r="F161" s="53"/>
      <c r="G161" s="53"/>
      <c r="H161" s="53"/>
      <c r="I161" s="53"/>
      <c r="J161" s="53"/>
      <c r="K161" s="53"/>
      <c r="L161" s="45"/>
      <c r="M161" s="45"/>
      <c r="N161" s="45"/>
      <c r="O161" s="45"/>
      <c r="P161" s="103"/>
    </row>
    <row r="162" spans="1:16" ht="14.25" customHeight="1">
      <c r="A162" s="160" t="s">
        <v>31</v>
      </c>
      <c r="B162" s="160" t="s">
        <v>678</v>
      </c>
      <c r="C162" s="69" t="s">
        <v>20</v>
      </c>
      <c r="D162" s="53">
        <f>D167</f>
        <v>5.35712</v>
      </c>
      <c r="E162" s="53">
        <f aca="true" t="shared" si="24" ref="E162:N162">E167</f>
        <v>5.3570705599999995</v>
      </c>
      <c r="F162" s="53">
        <f t="shared" si="24"/>
        <v>1.6615680300000002</v>
      </c>
      <c r="G162" s="53">
        <f t="shared" si="24"/>
        <v>1.6615680300000002</v>
      </c>
      <c r="H162" s="53">
        <f t="shared" si="24"/>
        <v>2.93199481</v>
      </c>
      <c r="I162" s="53">
        <f>I167</f>
        <v>2.93199481</v>
      </c>
      <c r="J162" s="53">
        <f t="shared" si="24"/>
        <v>3.9896407500000004</v>
      </c>
      <c r="K162" s="53">
        <f>K167</f>
        <v>3.9896407500000004</v>
      </c>
      <c r="L162" s="53">
        <f>L167</f>
        <v>5.826079480000001</v>
      </c>
      <c r="M162" s="53">
        <f>M167</f>
        <v>5.826079480000001</v>
      </c>
      <c r="N162" s="53">
        <f t="shared" si="24"/>
        <v>7.108558</v>
      </c>
      <c r="O162" s="53"/>
      <c r="P162" s="103"/>
    </row>
    <row r="163" spans="1:16" ht="15.75">
      <c r="A163" s="160"/>
      <c r="B163" s="160"/>
      <c r="C163" s="69" t="s">
        <v>21</v>
      </c>
      <c r="D163" s="53"/>
      <c r="E163" s="53"/>
      <c r="F163" s="53"/>
      <c r="G163" s="53"/>
      <c r="H163" s="53"/>
      <c r="I163" s="53"/>
      <c r="J163" s="53"/>
      <c r="K163" s="53"/>
      <c r="L163" s="45"/>
      <c r="M163" s="45"/>
      <c r="N163" s="45"/>
      <c r="O163" s="45"/>
      <c r="P163" s="103"/>
    </row>
    <row r="164" spans="1:16" ht="15.75">
      <c r="A164" s="160"/>
      <c r="B164" s="160"/>
      <c r="C164" s="69" t="s">
        <v>8</v>
      </c>
      <c r="D164" s="53"/>
      <c r="E164" s="53"/>
      <c r="F164" s="53"/>
      <c r="G164" s="53"/>
      <c r="H164" s="53"/>
      <c r="I164" s="53"/>
      <c r="J164" s="53"/>
      <c r="K164" s="53"/>
      <c r="L164" s="45"/>
      <c r="M164" s="45"/>
      <c r="N164" s="45"/>
      <c r="O164" s="45"/>
      <c r="P164" s="103"/>
    </row>
    <row r="165" spans="1:16" ht="15.75">
      <c r="A165" s="160"/>
      <c r="B165" s="160"/>
      <c r="C165" s="69" t="s">
        <v>22</v>
      </c>
      <c r="D165" s="53"/>
      <c r="E165" s="53"/>
      <c r="F165" s="53"/>
      <c r="G165" s="53"/>
      <c r="H165" s="53"/>
      <c r="I165" s="53"/>
      <c r="J165" s="53"/>
      <c r="K165" s="53"/>
      <c r="L165" s="45"/>
      <c r="M165" s="45"/>
      <c r="N165" s="45"/>
      <c r="O165" s="45"/>
      <c r="P165" s="103"/>
    </row>
    <row r="166" spans="1:16" ht="15.75" customHeight="1">
      <c r="A166" s="160"/>
      <c r="B166" s="160"/>
      <c r="C166" s="69" t="s">
        <v>36</v>
      </c>
      <c r="D166" s="53"/>
      <c r="E166" s="53"/>
      <c r="F166" s="53"/>
      <c r="G166" s="53"/>
      <c r="H166" s="53"/>
      <c r="I166" s="53"/>
      <c r="J166" s="53"/>
      <c r="K166" s="53"/>
      <c r="L166" s="45"/>
      <c r="M166" s="45"/>
      <c r="N166" s="45"/>
      <c r="O166" s="45"/>
      <c r="P166" s="103"/>
    </row>
    <row r="167" spans="1:16" ht="30">
      <c r="A167" s="160"/>
      <c r="B167" s="160"/>
      <c r="C167" s="69" t="s">
        <v>32</v>
      </c>
      <c r="D167" s="53">
        <f>('7 средства по кодам'!H211)/1000</f>
        <v>5.35712</v>
      </c>
      <c r="E167" s="53">
        <f>('7 средства по кодам'!I211)/1000</f>
        <v>5.3570705599999995</v>
      </c>
      <c r="F167" s="53">
        <f>('7 средства по кодам'!J211)/1000</f>
        <v>1.6615680300000002</v>
      </c>
      <c r="G167" s="53">
        <f>('7 средства по кодам'!K211)/1000</f>
        <v>1.6615680300000002</v>
      </c>
      <c r="H167" s="53">
        <f>('7 средства по кодам'!L211)/1000</f>
        <v>2.93199481</v>
      </c>
      <c r="I167" s="53">
        <f>('7 средства по кодам'!M211)/1000</f>
        <v>2.93199481</v>
      </c>
      <c r="J167" s="53">
        <f>('7 средства по кодам'!N211)/1000</f>
        <v>3.9896407500000004</v>
      </c>
      <c r="K167" s="53">
        <f>('7 средства по кодам'!O211)/1000</f>
        <v>3.9896407500000004</v>
      </c>
      <c r="L167" s="53">
        <f>('7 средства по кодам'!P211)/1000</f>
        <v>5.826079480000001</v>
      </c>
      <c r="M167" s="53">
        <f>('7 средства по кодам'!Q211)/1000</f>
        <v>5.826079480000001</v>
      </c>
      <c r="N167" s="53">
        <f>('7 средства по кодам'!R211)/1000</f>
        <v>7.108558</v>
      </c>
      <c r="O167" s="53"/>
      <c r="P167" s="103"/>
    </row>
    <row r="168" spans="1:16" ht="15.75">
      <c r="A168" s="160"/>
      <c r="B168" s="160"/>
      <c r="C168" s="69" t="s">
        <v>23</v>
      </c>
      <c r="D168" s="53"/>
      <c r="E168" s="53"/>
      <c r="F168" s="53"/>
      <c r="G168" s="53"/>
      <c r="H168" s="53"/>
      <c r="I168" s="53"/>
      <c r="J168" s="53"/>
      <c r="K168" s="53"/>
      <c r="L168" s="45"/>
      <c r="M168" s="45"/>
      <c r="N168" s="45"/>
      <c r="O168" s="45"/>
      <c r="P168" s="103"/>
    </row>
    <row r="169" spans="1:16" ht="15.75" customHeight="1">
      <c r="A169" s="160" t="s">
        <v>86</v>
      </c>
      <c r="B169" s="160" t="s">
        <v>679</v>
      </c>
      <c r="C169" s="69" t="s">
        <v>20</v>
      </c>
      <c r="D169" s="53">
        <f aca="true" t="shared" si="25" ref="D169:N169">D174</f>
        <v>0</v>
      </c>
      <c r="E169" s="53">
        <f t="shared" si="25"/>
        <v>0</v>
      </c>
      <c r="F169" s="53">
        <f t="shared" si="25"/>
        <v>0</v>
      </c>
      <c r="G169" s="53">
        <f t="shared" si="25"/>
        <v>0</v>
      </c>
      <c r="H169" s="53">
        <f t="shared" si="25"/>
        <v>0</v>
      </c>
      <c r="I169" s="53">
        <f t="shared" si="25"/>
        <v>0</v>
      </c>
      <c r="J169" s="53">
        <f t="shared" si="25"/>
        <v>0</v>
      </c>
      <c r="K169" s="53">
        <f t="shared" si="25"/>
        <v>0</v>
      </c>
      <c r="L169" s="53">
        <f t="shared" si="25"/>
        <v>0</v>
      </c>
      <c r="M169" s="53">
        <f t="shared" si="25"/>
        <v>0</v>
      </c>
      <c r="N169" s="53">
        <f t="shared" si="25"/>
        <v>0</v>
      </c>
      <c r="O169" s="53"/>
      <c r="P169" s="103"/>
    </row>
    <row r="170" spans="1:16" ht="15.75">
      <c r="A170" s="160"/>
      <c r="B170" s="160"/>
      <c r="C170" s="69" t="s">
        <v>21</v>
      </c>
      <c r="D170" s="53"/>
      <c r="E170" s="53"/>
      <c r="F170" s="53"/>
      <c r="G170" s="53"/>
      <c r="H170" s="53"/>
      <c r="I170" s="53"/>
      <c r="J170" s="53"/>
      <c r="K170" s="53"/>
      <c r="L170" s="45"/>
      <c r="M170" s="45"/>
      <c r="N170" s="45"/>
      <c r="O170" s="45"/>
      <c r="P170" s="103"/>
    </row>
    <row r="171" spans="1:16" ht="15.75">
      <c r="A171" s="160"/>
      <c r="B171" s="160"/>
      <c r="C171" s="69" t="s">
        <v>8</v>
      </c>
      <c r="D171" s="53"/>
      <c r="E171" s="53"/>
      <c r="F171" s="53"/>
      <c r="G171" s="53"/>
      <c r="H171" s="53"/>
      <c r="I171" s="53"/>
      <c r="J171" s="53"/>
      <c r="K171" s="53"/>
      <c r="L171" s="45"/>
      <c r="M171" s="45"/>
      <c r="N171" s="45"/>
      <c r="O171" s="45"/>
      <c r="P171" s="103"/>
    </row>
    <row r="172" spans="1:16" ht="15.75">
      <c r="A172" s="160"/>
      <c r="B172" s="160"/>
      <c r="C172" s="69" t="s">
        <v>22</v>
      </c>
      <c r="D172" s="53"/>
      <c r="E172" s="53"/>
      <c r="F172" s="53"/>
      <c r="G172" s="53"/>
      <c r="H172" s="53"/>
      <c r="I172" s="53"/>
      <c r="J172" s="53"/>
      <c r="K172" s="53"/>
      <c r="L172" s="45"/>
      <c r="M172" s="45"/>
      <c r="N172" s="45"/>
      <c r="O172" s="45"/>
      <c r="P172" s="103"/>
    </row>
    <row r="173" spans="1:16" ht="16.5" customHeight="1">
      <c r="A173" s="160"/>
      <c r="B173" s="160"/>
      <c r="C173" s="69" t="s">
        <v>36</v>
      </c>
      <c r="D173" s="53"/>
      <c r="E173" s="53"/>
      <c r="F173" s="53"/>
      <c r="G173" s="53"/>
      <c r="H173" s="53"/>
      <c r="I173" s="53"/>
      <c r="J173" s="53"/>
      <c r="K173" s="53"/>
      <c r="L173" s="45"/>
      <c r="M173" s="45"/>
      <c r="N173" s="45"/>
      <c r="O173" s="45"/>
      <c r="P173" s="103"/>
    </row>
    <row r="174" spans="1:16" ht="30">
      <c r="A174" s="160"/>
      <c r="B174" s="160"/>
      <c r="C174" s="69" t="s">
        <v>32</v>
      </c>
      <c r="D174" s="53"/>
      <c r="E174" s="53"/>
      <c r="F174" s="53"/>
      <c r="G174" s="53"/>
      <c r="H174" s="53"/>
      <c r="I174" s="53"/>
      <c r="J174" s="53"/>
      <c r="K174" s="53"/>
      <c r="L174" s="45"/>
      <c r="M174" s="45"/>
      <c r="N174" s="45"/>
      <c r="O174" s="45"/>
      <c r="P174" s="103"/>
    </row>
    <row r="175" spans="1:16" ht="15.75">
      <c r="A175" s="160"/>
      <c r="B175" s="160"/>
      <c r="C175" s="69" t="s">
        <v>23</v>
      </c>
      <c r="D175" s="53"/>
      <c r="E175" s="53"/>
      <c r="F175" s="53"/>
      <c r="G175" s="53"/>
      <c r="H175" s="53"/>
      <c r="I175" s="53"/>
      <c r="J175" s="53"/>
      <c r="K175" s="53"/>
      <c r="L175" s="45"/>
      <c r="M175" s="45"/>
      <c r="N175" s="45"/>
      <c r="O175" s="45"/>
      <c r="P175" s="103"/>
    </row>
    <row r="176" spans="1:16" ht="13.5" customHeight="1">
      <c r="A176" s="160" t="s">
        <v>366</v>
      </c>
      <c r="B176" s="160" t="s">
        <v>680</v>
      </c>
      <c r="C176" s="69" t="s">
        <v>20</v>
      </c>
      <c r="D176" s="53">
        <f aca="true" t="shared" si="26" ref="D176:N176">D181</f>
        <v>0</v>
      </c>
      <c r="E176" s="53">
        <f t="shared" si="26"/>
        <v>0</v>
      </c>
      <c r="F176" s="53">
        <f t="shared" si="26"/>
        <v>0</v>
      </c>
      <c r="G176" s="53">
        <f t="shared" si="26"/>
        <v>0</v>
      </c>
      <c r="H176" s="53">
        <f t="shared" si="26"/>
        <v>0</v>
      </c>
      <c r="I176" s="53">
        <f t="shared" si="26"/>
        <v>0</v>
      </c>
      <c r="J176" s="53">
        <f t="shared" si="26"/>
        <v>0</v>
      </c>
      <c r="K176" s="53">
        <f t="shared" si="26"/>
        <v>0</v>
      </c>
      <c r="L176" s="45">
        <f t="shared" si="26"/>
        <v>0</v>
      </c>
      <c r="M176" s="45">
        <f t="shared" si="26"/>
        <v>0</v>
      </c>
      <c r="N176" s="45">
        <f t="shared" si="26"/>
        <v>0</v>
      </c>
      <c r="O176" s="45"/>
      <c r="P176" s="103"/>
    </row>
    <row r="177" spans="1:16" ht="15.75">
      <c r="A177" s="160"/>
      <c r="B177" s="160"/>
      <c r="C177" s="69" t="s">
        <v>21</v>
      </c>
      <c r="D177" s="53"/>
      <c r="E177" s="53"/>
      <c r="F177" s="53"/>
      <c r="G177" s="53"/>
      <c r="H177" s="53"/>
      <c r="I177" s="53"/>
      <c r="J177" s="53"/>
      <c r="K177" s="53"/>
      <c r="L177" s="45"/>
      <c r="M177" s="45"/>
      <c r="N177" s="45"/>
      <c r="O177" s="45"/>
      <c r="P177" s="103"/>
    </row>
    <row r="178" spans="1:16" ht="15.75">
      <c r="A178" s="160"/>
      <c r="B178" s="160"/>
      <c r="C178" s="69" t="s">
        <v>243</v>
      </c>
      <c r="D178" s="53"/>
      <c r="E178" s="53"/>
      <c r="F178" s="53"/>
      <c r="G178" s="53"/>
      <c r="H178" s="53"/>
      <c r="I178" s="53"/>
      <c r="J178" s="53"/>
      <c r="K178" s="53"/>
      <c r="L178" s="45"/>
      <c r="M178" s="45"/>
      <c r="N178" s="45"/>
      <c r="O178" s="45"/>
      <c r="P178" s="103"/>
    </row>
    <row r="179" spans="1:16" ht="15.75">
      <c r="A179" s="160"/>
      <c r="B179" s="160"/>
      <c r="C179" s="69" t="s">
        <v>22</v>
      </c>
      <c r="D179" s="53"/>
      <c r="E179" s="53"/>
      <c r="F179" s="53"/>
      <c r="G179" s="53"/>
      <c r="H179" s="53"/>
      <c r="I179" s="53"/>
      <c r="J179" s="53"/>
      <c r="K179" s="53"/>
      <c r="L179" s="45"/>
      <c r="M179" s="45"/>
      <c r="N179" s="45"/>
      <c r="O179" s="45"/>
      <c r="P179" s="103"/>
    </row>
    <row r="180" spans="1:16" ht="12.75" customHeight="1">
      <c r="A180" s="160"/>
      <c r="B180" s="160"/>
      <c r="C180" s="69" t="s">
        <v>36</v>
      </c>
      <c r="D180" s="53"/>
      <c r="E180" s="53"/>
      <c r="F180" s="53"/>
      <c r="G180" s="53"/>
      <c r="H180" s="53"/>
      <c r="I180" s="53"/>
      <c r="J180" s="53"/>
      <c r="K180" s="53"/>
      <c r="L180" s="45"/>
      <c r="M180" s="45"/>
      <c r="N180" s="45"/>
      <c r="O180" s="45"/>
      <c r="P180" s="103"/>
    </row>
    <row r="181" spans="1:16" ht="30">
      <c r="A181" s="160"/>
      <c r="B181" s="160"/>
      <c r="C181" s="69" t="s">
        <v>244</v>
      </c>
      <c r="D181" s="53"/>
      <c r="E181" s="53"/>
      <c r="F181" s="53"/>
      <c r="G181" s="53"/>
      <c r="H181" s="53"/>
      <c r="I181" s="53"/>
      <c r="J181" s="53"/>
      <c r="K181" s="53"/>
      <c r="L181" s="45"/>
      <c r="M181" s="45"/>
      <c r="N181" s="45"/>
      <c r="O181" s="45"/>
      <c r="P181" s="103"/>
    </row>
    <row r="182" spans="1:16" ht="15.75">
      <c r="A182" s="160"/>
      <c r="B182" s="160"/>
      <c r="C182" s="69" t="s">
        <v>23</v>
      </c>
      <c r="D182" s="53"/>
      <c r="E182" s="53"/>
      <c r="F182" s="53"/>
      <c r="G182" s="53"/>
      <c r="H182" s="53"/>
      <c r="I182" s="53"/>
      <c r="J182" s="53"/>
      <c r="K182" s="53"/>
      <c r="L182" s="45"/>
      <c r="M182" s="45"/>
      <c r="N182" s="45"/>
      <c r="O182" s="45"/>
      <c r="P182" s="103"/>
    </row>
    <row r="183" spans="1:16" ht="12.75" customHeight="1">
      <c r="A183" s="186" t="s">
        <v>371</v>
      </c>
      <c r="B183" s="160" t="s">
        <v>697</v>
      </c>
      <c r="C183" s="69" t="s">
        <v>20</v>
      </c>
      <c r="D183" s="53">
        <f aca="true" t="shared" si="27" ref="D183:N183">D188</f>
        <v>0</v>
      </c>
      <c r="E183" s="53">
        <f t="shared" si="27"/>
        <v>0</v>
      </c>
      <c r="F183" s="53">
        <f t="shared" si="27"/>
        <v>0</v>
      </c>
      <c r="G183" s="53">
        <f t="shared" si="27"/>
        <v>0</v>
      </c>
      <c r="H183" s="53">
        <f t="shared" si="27"/>
        <v>0</v>
      </c>
      <c r="I183" s="53">
        <f t="shared" si="27"/>
        <v>0</v>
      </c>
      <c r="J183" s="53">
        <f t="shared" si="27"/>
        <v>0</v>
      </c>
      <c r="K183" s="53">
        <f t="shared" si="27"/>
        <v>0</v>
      </c>
      <c r="L183" s="45">
        <f t="shared" si="27"/>
        <v>0</v>
      </c>
      <c r="M183" s="45">
        <f t="shared" si="27"/>
        <v>0</v>
      </c>
      <c r="N183" s="45">
        <f t="shared" si="27"/>
        <v>0</v>
      </c>
      <c r="O183" s="45"/>
      <c r="P183" s="103"/>
    </row>
    <row r="184" spans="1:16" ht="15.75">
      <c r="A184" s="186"/>
      <c r="B184" s="160"/>
      <c r="C184" s="69" t="s">
        <v>21</v>
      </c>
      <c r="D184" s="53"/>
      <c r="E184" s="53"/>
      <c r="F184" s="53"/>
      <c r="G184" s="53"/>
      <c r="H184" s="53"/>
      <c r="I184" s="53"/>
      <c r="J184" s="53"/>
      <c r="K184" s="53"/>
      <c r="L184" s="45"/>
      <c r="M184" s="45"/>
      <c r="N184" s="45"/>
      <c r="O184" s="45"/>
      <c r="P184" s="103"/>
    </row>
    <row r="185" spans="1:16" ht="15.75">
      <c r="A185" s="186"/>
      <c r="B185" s="160"/>
      <c r="C185" s="69" t="s">
        <v>243</v>
      </c>
      <c r="D185" s="53"/>
      <c r="E185" s="53"/>
      <c r="F185" s="53"/>
      <c r="G185" s="53"/>
      <c r="H185" s="53"/>
      <c r="I185" s="53"/>
      <c r="J185" s="53"/>
      <c r="K185" s="53"/>
      <c r="L185" s="45"/>
      <c r="M185" s="45"/>
      <c r="N185" s="45"/>
      <c r="O185" s="45"/>
      <c r="P185" s="103"/>
    </row>
    <row r="186" spans="1:16" ht="15.75">
      <c r="A186" s="186"/>
      <c r="B186" s="160"/>
      <c r="C186" s="69" t="s">
        <v>22</v>
      </c>
      <c r="D186" s="53"/>
      <c r="E186" s="53"/>
      <c r="F186" s="53"/>
      <c r="G186" s="53"/>
      <c r="H186" s="53"/>
      <c r="I186" s="53"/>
      <c r="J186" s="53"/>
      <c r="K186" s="53"/>
      <c r="L186" s="45"/>
      <c r="M186" s="45"/>
      <c r="N186" s="45"/>
      <c r="O186" s="45"/>
      <c r="P186" s="103"/>
    </row>
    <row r="187" spans="1:16" ht="15.75" customHeight="1">
      <c r="A187" s="186"/>
      <c r="B187" s="160"/>
      <c r="C187" s="69" t="s">
        <v>36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45"/>
      <c r="O187" s="45"/>
      <c r="P187" s="103"/>
    </row>
    <row r="188" spans="1:16" ht="30">
      <c r="A188" s="186"/>
      <c r="B188" s="160"/>
      <c r="C188" s="69" t="s">
        <v>244</v>
      </c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103"/>
    </row>
    <row r="189" spans="1:16" ht="15.75">
      <c r="A189" s="186"/>
      <c r="B189" s="160"/>
      <c r="C189" s="69" t="s">
        <v>23</v>
      </c>
      <c r="D189" s="53"/>
      <c r="E189" s="53"/>
      <c r="F189" s="53"/>
      <c r="G189" s="53"/>
      <c r="H189" s="53"/>
      <c r="I189" s="53"/>
      <c r="J189" s="53"/>
      <c r="K189" s="53"/>
      <c r="L189" s="45"/>
      <c r="M189" s="45"/>
      <c r="N189" s="45"/>
      <c r="O189" s="45"/>
      <c r="P189" s="103"/>
    </row>
    <row r="190" spans="1:16" ht="12.75" customHeight="1">
      <c r="A190" s="186" t="s">
        <v>447</v>
      </c>
      <c r="B190" s="160" t="s">
        <v>682</v>
      </c>
      <c r="C190" s="69" t="s">
        <v>20</v>
      </c>
      <c r="D190" s="53">
        <f aca="true" t="shared" si="28" ref="D190:N190">D195</f>
        <v>2.35469765</v>
      </c>
      <c r="E190" s="53">
        <f t="shared" si="28"/>
        <v>2.35469765</v>
      </c>
      <c r="F190" s="53">
        <f t="shared" si="28"/>
        <v>0</v>
      </c>
      <c r="G190" s="53">
        <f t="shared" si="28"/>
        <v>0</v>
      </c>
      <c r="H190" s="53">
        <f t="shared" si="28"/>
        <v>0</v>
      </c>
      <c r="I190" s="53">
        <f t="shared" si="28"/>
        <v>0</v>
      </c>
      <c r="J190" s="53">
        <f t="shared" si="28"/>
        <v>0</v>
      </c>
      <c r="K190" s="53">
        <f t="shared" si="28"/>
        <v>0</v>
      </c>
      <c r="L190" s="45">
        <f t="shared" si="28"/>
        <v>0.26210700000000003</v>
      </c>
      <c r="M190" s="45">
        <f t="shared" si="28"/>
        <v>0.26210700000000003</v>
      </c>
      <c r="N190" s="45">
        <f t="shared" si="28"/>
        <v>0</v>
      </c>
      <c r="O190" s="45"/>
      <c r="P190" s="103"/>
    </row>
    <row r="191" spans="1:16" ht="15.75">
      <c r="A191" s="186"/>
      <c r="B191" s="160"/>
      <c r="C191" s="69" t="s">
        <v>21</v>
      </c>
      <c r="D191" s="53"/>
      <c r="E191" s="53"/>
      <c r="F191" s="53"/>
      <c r="G191" s="53"/>
      <c r="H191" s="53"/>
      <c r="I191" s="53"/>
      <c r="J191" s="53"/>
      <c r="K191" s="53"/>
      <c r="L191" s="45"/>
      <c r="M191" s="45"/>
      <c r="N191" s="45"/>
      <c r="O191" s="45"/>
      <c r="P191" s="103"/>
    </row>
    <row r="192" spans="1:16" ht="15.75">
      <c r="A192" s="186"/>
      <c r="B192" s="160"/>
      <c r="C192" s="69" t="s">
        <v>243</v>
      </c>
      <c r="D192" s="53"/>
      <c r="E192" s="53"/>
      <c r="F192" s="53"/>
      <c r="G192" s="53"/>
      <c r="H192" s="53"/>
      <c r="I192" s="53"/>
      <c r="J192" s="53"/>
      <c r="K192" s="53"/>
      <c r="L192" s="45"/>
      <c r="M192" s="45"/>
      <c r="N192" s="45"/>
      <c r="O192" s="45"/>
      <c r="P192" s="103"/>
    </row>
    <row r="193" spans="1:16" ht="15.75">
      <c r="A193" s="186"/>
      <c r="B193" s="160"/>
      <c r="C193" s="69" t="s">
        <v>22</v>
      </c>
      <c r="D193" s="53"/>
      <c r="E193" s="53"/>
      <c r="F193" s="53"/>
      <c r="G193" s="53"/>
      <c r="H193" s="53"/>
      <c r="I193" s="53"/>
      <c r="J193" s="53"/>
      <c r="K193" s="53"/>
      <c r="L193" s="45"/>
      <c r="M193" s="45"/>
      <c r="N193" s="45"/>
      <c r="O193" s="45"/>
      <c r="P193" s="103"/>
    </row>
    <row r="194" spans="1:16" ht="13.5" customHeight="1">
      <c r="A194" s="186"/>
      <c r="B194" s="160"/>
      <c r="C194" s="69" t="s">
        <v>36</v>
      </c>
      <c r="D194" s="53"/>
      <c r="E194" s="53"/>
      <c r="F194" s="53"/>
      <c r="G194" s="53"/>
      <c r="H194" s="53"/>
      <c r="I194" s="53"/>
      <c r="J194" s="53"/>
      <c r="K194" s="53"/>
      <c r="L194" s="45"/>
      <c r="M194" s="45"/>
      <c r="N194" s="45"/>
      <c r="O194" s="45"/>
      <c r="P194" s="103"/>
    </row>
    <row r="195" spans="1:16" ht="30">
      <c r="A195" s="186"/>
      <c r="B195" s="160"/>
      <c r="C195" s="69" t="s">
        <v>244</v>
      </c>
      <c r="D195" s="53">
        <f>('7 средства по кодам'!H232)/1000</f>
        <v>2.35469765</v>
      </c>
      <c r="E195" s="53">
        <f>('7 средства по кодам'!I232)/1000</f>
        <v>2.35469765</v>
      </c>
      <c r="F195" s="53">
        <f>('7 средства по кодам'!J232)/1000</f>
        <v>0</v>
      </c>
      <c r="G195" s="53">
        <f>('7 средства по кодам'!K232)/1000</f>
        <v>0</v>
      </c>
      <c r="H195" s="53">
        <f>('7 средства по кодам'!L232)/1000</f>
        <v>0</v>
      </c>
      <c r="I195" s="53">
        <f>('7 средства по кодам'!M232)/1000</f>
        <v>0</v>
      </c>
      <c r="J195" s="53">
        <f>('7 средства по кодам'!N232)/1000</f>
        <v>0</v>
      </c>
      <c r="K195" s="53">
        <f>('7 средства по кодам'!O232)/1000</f>
        <v>0</v>
      </c>
      <c r="L195" s="53">
        <f>('7 средства по кодам'!P232)/1000</f>
        <v>0.26210700000000003</v>
      </c>
      <c r="M195" s="53">
        <f>('7 средства по кодам'!Q232)/1000</f>
        <v>0.26210700000000003</v>
      </c>
      <c r="N195" s="53">
        <f>('7 средства по кодам'!R232)/1000</f>
        <v>0</v>
      </c>
      <c r="O195" s="53"/>
      <c r="P195" s="103"/>
    </row>
    <row r="196" spans="1:16" ht="15.75">
      <c r="A196" s="186"/>
      <c r="B196" s="160"/>
      <c r="C196" s="69" t="s">
        <v>23</v>
      </c>
      <c r="D196" s="53"/>
      <c r="E196" s="53"/>
      <c r="F196" s="53"/>
      <c r="G196" s="53"/>
      <c r="H196" s="53"/>
      <c r="I196" s="53"/>
      <c r="J196" s="53"/>
      <c r="K196" s="53"/>
      <c r="L196" s="45"/>
      <c r="M196" s="45"/>
      <c r="N196" s="45"/>
      <c r="O196" s="45"/>
      <c r="P196" s="103"/>
    </row>
    <row r="197" spans="1:16" ht="12.75" customHeight="1">
      <c r="A197" s="186" t="s">
        <v>459</v>
      </c>
      <c r="B197" s="160" t="s">
        <v>698</v>
      </c>
      <c r="C197" s="69" t="s">
        <v>20</v>
      </c>
      <c r="D197" s="53">
        <f aca="true" t="shared" si="29" ref="D197:M197">D202</f>
        <v>0</v>
      </c>
      <c r="E197" s="53">
        <f t="shared" si="29"/>
        <v>0</v>
      </c>
      <c r="F197" s="53">
        <f t="shared" si="29"/>
        <v>0</v>
      </c>
      <c r="G197" s="53">
        <f t="shared" si="29"/>
        <v>0</v>
      </c>
      <c r="H197" s="53">
        <f t="shared" si="29"/>
        <v>0</v>
      </c>
      <c r="I197" s="53">
        <f t="shared" si="29"/>
        <v>0</v>
      </c>
      <c r="J197" s="53">
        <f t="shared" si="29"/>
        <v>0</v>
      </c>
      <c r="K197" s="53">
        <f t="shared" si="29"/>
        <v>0</v>
      </c>
      <c r="L197" s="45">
        <f t="shared" si="29"/>
        <v>0</v>
      </c>
      <c r="M197" s="45">
        <f t="shared" si="29"/>
        <v>0</v>
      </c>
      <c r="N197" s="45">
        <v>0</v>
      </c>
      <c r="O197" s="45"/>
      <c r="P197" s="103"/>
    </row>
    <row r="198" spans="1:16" ht="15.75">
      <c r="A198" s="186"/>
      <c r="B198" s="160"/>
      <c r="C198" s="69" t="s">
        <v>21</v>
      </c>
      <c r="D198" s="53"/>
      <c r="E198" s="53"/>
      <c r="F198" s="53"/>
      <c r="G198" s="53"/>
      <c r="H198" s="53"/>
      <c r="I198" s="53"/>
      <c r="J198" s="53"/>
      <c r="K198" s="53"/>
      <c r="L198" s="45"/>
      <c r="M198" s="45"/>
      <c r="N198" s="45"/>
      <c r="O198" s="45"/>
      <c r="P198" s="103"/>
    </row>
    <row r="199" spans="1:16" ht="15.75">
      <c r="A199" s="186"/>
      <c r="B199" s="160"/>
      <c r="C199" s="69" t="s">
        <v>243</v>
      </c>
      <c r="D199" s="53"/>
      <c r="E199" s="53"/>
      <c r="F199" s="53"/>
      <c r="G199" s="53"/>
      <c r="H199" s="53"/>
      <c r="I199" s="53"/>
      <c r="J199" s="53"/>
      <c r="K199" s="53"/>
      <c r="L199" s="45"/>
      <c r="M199" s="45"/>
      <c r="N199" s="45"/>
      <c r="O199" s="45"/>
      <c r="P199" s="103"/>
    </row>
    <row r="200" spans="1:16" ht="15.75">
      <c r="A200" s="186"/>
      <c r="B200" s="160"/>
      <c r="C200" s="69" t="s">
        <v>22</v>
      </c>
      <c r="D200" s="53"/>
      <c r="E200" s="53"/>
      <c r="F200" s="53"/>
      <c r="G200" s="53"/>
      <c r="H200" s="53"/>
      <c r="I200" s="53"/>
      <c r="J200" s="53"/>
      <c r="K200" s="53"/>
      <c r="L200" s="45"/>
      <c r="M200" s="45"/>
      <c r="N200" s="45"/>
      <c r="O200" s="45"/>
      <c r="P200" s="103"/>
    </row>
    <row r="201" spans="1:16" ht="12" customHeight="1">
      <c r="A201" s="186"/>
      <c r="B201" s="160"/>
      <c r="C201" s="69" t="s">
        <v>36</v>
      </c>
      <c r="D201" s="53"/>
      <c r="E201" s="53"/>
      <c r="F201" s="53"/>
      <c r="G201" s="53"/>
      <c r="H201" s="53"/>
      <c r="I201" s="53"/>
      <c r="J201" s="53"/>
      <c r="K201" s="53"/>
      <c r="L201" s="45"/>
      <c r="M201" s="45"/>
      <c r="N201" s="45"/>
      <c r="O201" s="45"/>
      <c r="P201" s="103"/>
    </row>
    <row r="202" spans="1:16" ht="30">
      <c r="A202" s="186"/>
      <c r="B202" s="160"/>
      <c r="C202" s="69" t="s">
        <v>244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103"/>
    </row>
    <row r="203" spans="1:16" ht="18" customHeight="1">
      <c r="A203" s="186"/>
      <c r="B203" s="160"/>
      <c r="C203" s="69" t="s">
        <v>23</v>
      </c>
      <c r="D203" s="53"/>
      <c r="E203" s="53"/>
      <c r="F203" s="53"/>
      <c r="G203" s="53"/>
      <c r="H203" s="53"/>
      <c r="I203" s="53"/>
      <c r="J203" s="53"/>
      <c r="K203" s="53"/>
      <c r="L203" s="45"/>
      <c r="M203" s="45"/>
      <c r="N203" s="45"/>
      <c r="O203" s="45"/>
      <c r="P203" s="103"/>
    </row>
    <row r="204" spans="1:16" ht="12.75" customHeight="1">
      <c r="A204" s="186" t="s">
        <v>492</v>
      </c>
      <c r="B204" s="160" t="s">
        <v>699</v>
      </c>
      <c r="C204" s="69" t="s">
        <v>20</v>
      </c>
      <c r="D204" s="53">
        <f aca="true" t="shared" si="30" ref="D204:N204">D209</f>
        <v>0</v>
      </c>
      <c r="E204" s="53">
        <f t="shared" si="30"/>
        <v>0</v>
      </c>
      <c r="F204" s="53">
        <f t="shared" si="30"/>
        <v>0</v>
      </c>
      <c r="G204" s="53">
        <f t="shared" si="30"/>
        <v>0</v>
      </c>
      <c r="H204" s="53">
        <f t="shared" si="30"/>
        <v>0</v>
      </c>
      <c r="I204" s="53">
        <f t="shared" si="30"/>
        <v>0</v>
      </c>
      <c r="J204" s="53">
        <f t="shared" si="30"/>
        <v>0</v>
      </c>
      <c r="K204" s="53">
        <f t="shared" si="30"/>
        <v>0</v>
      </c>
      <c r="L204" s="53">
        <f t="shared" si="30"/>
        <v>0</v>
      </c>
      <c r="M204" s="53">
        <f t="shared" si="30"/>
        <v>0</v>
      </c>
      <c r="N204" s="53">
        <f t="shared" si="30"/>
        <v>0</v>
      </c>
      <c r="O204" s="53"/>
      <c r="P204" s="103"/>
    </row>
    <row r="205" spans="1:16" ht="15.75">
      <c r="A205" s="186"/>
      <c r="B205" s="160"/>
      <c r="C205" s="69" t="s">
        <v>21</v>
      </c>
      <c r="D205" s="53"/>
      <c r="E205" s="53"/>
      <c r="F205" s="53"/>
      <c r="G205" s="53"/>
      <c r="H205" s="53"/>
      <c r="I205" s="53"/>
      <c r="J205" s="53"/>
      <c r="K205" s="53"/>
      <c r="L205" s="45"/>
      <c r="M205" s="45"/>
      <c r="N205" s="45"/>
      <c r="O205" s="45"/>
      <c r="P205" s="103"/>
    </row>
    <row r="206" spans="1:16" ht="15.75">
      <c r="A206" s="186"/>
      <c r="B206" s="160"/>
      <c r="C206" s="69" t="s">
        <v>243</v>
      </c>
      <c r="D206" s="53"/>
      <c r="E206" s="53"/>
      <c r="F206" s="53"/>
      <c r="G206" s="53"/>
      <c r="H206" s="53"/>
      <c r="I206" s="53"/>
      <c r="J206" s="53"/>
      <c r="K206" s="53"/>
      <c r="L206" s="45"/>
      <c r="M206" s="45"/>
      <c r="N206" s="45"/>
      <c r="O206" s="45"/>
      <c r="P206" s="103"/>
    </row>
    <row r="207" spans="1:16" ht="12" customHeight="1">
      <c r="A207" s="186"/>
      <c r="B207" s="160"/>
      <c r="C207" s="69" t="s">
        <v>22</v>
      </c>
      <c r="D207" s="53"/>
      <c r="E207" s="53"/>
      <c r="F207" s="53"/>
      <c r="G207" s="53"/>
      <c r="H207" s="53"/>
      <c r="I207" s="53"/>
      <c r="J207" s="53"/>
      <c r="K207" s="53"/>
      <c r="L207" s="45"/>
      <c r="M207" s="45"/>
      <c r="N207" s="45"/>
      <c r="O207" s="45"/>
      <c r="P207" s="103"/>
    </row>
    <row r="208" spans="1:16" ht="12" customHeight="1">
      <c r="A208" s="186"/>
      <c r="B208" s="160"/>
      <c r="C208" s="69" t="s">
        <v>36</v>
      </c>
      <c r="D208" s="53"/>
      <c r="E208" s="53"/>
      <c r="F208" s="53"/>
      <c r="G208" s="53"/>
      <c r="H208" s="53"/>
      <c r="I208" s="53"/>
      <c r="J208" s="53"/>
      <c r="K208" s="53"/>
      <c r="L208" s="45"/>
      <c r="M208" s="45"/>
      <c r="N208" s="45"/>
      <c r="O208" s="45"/>
      <c r="P208" s="103"/>
    </row>
    <row r="209" spans="1:16" ht="30">
      <c r="A209" s="186"/>
      <c r="B209" s="160"/>
      <c r="C209" s="69" t="s">
        <v>244</v>
      </c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103"/>
    </row>
    <row r="210" spans="1:16" ht="15.75">
      <c r="A210" s="186"/>
      <c r="B210" s="160"/>
      <c r="C210" s="69" t="s">
        <v>23</v>
      </c>
      <c r="D210" s="53"/>
      <c r="E210" s="53"/>
      <c r="F210" s="53"/>
      <c r="G210" s="53"/>
      <c r="H210" s="53"/>
      <c r="I210" s="53"/>
      <c r="J210" s="53"/>
      <c r="K210" s="53"/>
      <c r="L210" s="45"/>
      <c r="M210" s="45"/>
      <c r="N210" s="45"/>
      <c r="O210" s="45"/>
      <c r="P210" s="103"/>
    </row>
    <row r="211" spans="1:16" ht="12.75" customHeight="1">
      <c r="A211" s="186" t="s">
        <v>471</v>
      </c>
      <c r="B211" s="160" t="s">
        <v>625</v>
      </c>
      <c r="C211" s="69" t="s">
        <v>20</v>
      </c>
      <c r="D211" s="53">
        <f>D213+D214+D215+D216+D217</f>
        <v>10402.72</v>
      </c>
      <c r="E211" s="53">
        <f aca="true" t="shared" si="31" ref="E211:N211">E213+E214+E215+E216+E217</f>
        <v>3517.744</v>
      </c>
      <c r="F211" s="53">
        <f t="shared" si="31"/>
        <v>0</v>
      </c>
      <c r="G211" s="53">
        <f t="shared" si="31"/>
        <v>0</v>
      </c>
      <c r="H211" s="53">
        <f t="shared" si="31"/>
        <v>0</v>
      </c>
      <c r="I211" s="53">
        <f t="shared" si="31"/>
        <v>0</v>
      </c>
      <c r="J211" s="53">
        <f t="shared" si="31"/>
        <v>0</v>
      </c>
      <c r="K211" s="53">
        <f t="shared" si="31"/>
        <v>0</v>
      </c>
      <c r="L211" s="53">
        <f t="shared" si="31"/>
        <v>6970.256</v>
      </c>
      <c r="M211" s="53">
        <f t="shared" si="31"/>
        <v>198</v>
      </c>
      <c r="N211" s="53">
        <f t="shared" si="31"/>
        <v>411.47422</v>
      </c>
      <c r="O211" s="53"/>
      <c r="P211" s="103"/>
    </row>
    <row r="212" spans="1:16" s="63" customFormat="1" ht="15" customHeight="1">
      <c r="A212" s="186"/>
      <c r="B212" s="160"/>
      <c r="C212" s="69" t="s">
        <v>21</v>
      </c>
      <c r="D212" s="53"/>
      <c r="E212" s="53"/>
      <c r="F212" s="53"/>
      <c r="G212" s="53"/>
      <c r="H212" s="53"/>
      <c r="I212" s="53"/>
      <c r="J212" s="53"/>
      <c r="K212" s="53"/>
      <c r="L212" s="45"/>
      <c r="M212" s="45"/>
      <c r="N212" s="45"/>
      <c r="O212" s="45"/>
      <c r="P212" s="103"/>
    </row>
    <row r="213" spans="1:16" ht="15.75">
      <c r="A213" s="186"/>
      <c r="B213" s="160"/>
      <c r="C213" s="69" t="s">
        <v>243</v>
      </c>
      <c r="D213" s="53"/>
      <c r="E213" s="53"/>
      <c r="F213" s="53"/>
      <c r="G213" s="53"/>
      <c r="H213" s="53"/>
      <c r="I213" s="53"/>
      <c r="J213" s="53"/>
      <c r="K213" s="53"/>
      <c r="L213" s="45"/>
      <c r="M213" s="45"/>
      <c r="N213" s="45"/>
      <c r="O213" s="45"/>
      <c r="P213" s="103"/>
    </row>
    <row r="214" spans="1:16" ht="15.75">
      <c r="A214" s="186"/>
      <c r="B214" s="160"/>
      <c r="C214" s="69" t="s">
        <v>22</v>
      </c>
      <c r="D214" s="53"/>
      <c r="E214" s="53"/>
      <c r="F214" s="53"/>
      <c r="G214" s="53"/>
      <c r="H214" s="53"/>
      <c r="I214" s="53"/>
      <c r="J214" s="53"/>
      <c r="K214" s="53"/>
      <c r="L214" s="45"/>
      <c r="M214" s="45"/>
      <c r="N214" s="45"/>
      <c r="O214" s="45"/>
      <c r="P214" s="103"/>
    </row>
    <row r="215" spans="1:16" ht="15.75" customHeight="1">
      <c r="A215" s="186"/>
      <c r="B215" s="160"/>
      <c r="C215" s="69" t="s">
        <v>36</v>
      </c>
      <c r="D215" s="53"/>
      <c r="E215" s="53"/>
      <c r="F215" s="53"/>
      <c r="G215" s="53"/>
      <c r="H215" s="53"/>
      <c r="I215" s="53"/>
      <c r="J215" s="53"/>
      <c r="K215" s="53"/>
      <c r="L215" s="45"/>
      <c r="M215" s="45"/>
      <c r="N215" s="45"/>
      <c r="O215" s="45"/>
      <c r="P215" s="103"/>
    </row>
    <row r="216" spans="1:16" ht="30">
      <c r="A216" s="186"/>
      <c r="B216" s="160"/>
      <c r="C216" s="69" t="s">
        <v>244</v>
      </c>
      <c r="D216" s="53">
        <f>'7 средства по кодам'!H254</f>
        <v>10402.72</v>
      </c>
      <c r="E216" s="53">
        <f>'7 средства по кодам'!I254</f>
        <v>3517.744</v>
      </c>
      <c r="F216" s="53">
        <f>'7 средства по кодам'!J254</f>
        <v>0</v>
      </c>
      <c r="G216" s="53">
        <f>'7 средства по кодам'!K254</f>
        <v>0</v>
      </c>
      <c r="H216" s="53">
        <f>'7 средства по кодам'!L254</f>
        <v>0</v>
      </c>
      <c r="I216" s="53">
        <f>'7 средства по кодам'!M254</f>
        <v>0</v>
      </c>
      <c r="J216" s="53">
        <f>'7 средства по кодам'!N254</f>
        <v>0</v>
      </c>
      <c r="K216" s="53">
        <f>'7 средства по кодам'!O254</f>
        <v>0</v>
      </c>
      <c r="L216" s="53">
        <f>'7 средства по кодам'!P254</f>
        <v>6970.256</v>
      </c>
      <c r="M216" s="53">
        <f>'7 средства по кодам'!Q254</f>
        <v>198</v>
      </c>
      <c r="N216" s="53">
        <f>'7 средства по кодам'!R254</f>
        <v>411.47422</v>
      </c>
      <c r="O216" s="53"/>
      <c r="P216" s="103"/>
    </row>
    <row r="217" spans="1:16" ht="15.75">
      <c r="A217" s="186"/>
      <c r="B217" s="160"/>
      <c r="C217" s="69" t="s">
        <v>23</v>
      </c>
      <c r="D217" s="53"/>
      <c r="E217" s="53"/>
      <c r="F217" s="53"/>
      <c r="G217" s="53"/>
      <c r="H217" s="53"/>
      <c r="I217" s="53"/>
      <c r="J217" s="53"/>
      <c r="K217" s="53"/>
      <c r="L217" s="45"/>
      <c r="M217" s="45"/>
      <c r="N217" s="45"/>
      <c r="O217" s="45"/>
      <c r="P217" s="103"/>
    </row>
    <row r="218" spans="1:16" ht="12.75" customHeight="1">
      <c r="A218" s="186" t="s">
        <v>486</v>
      </c>
      <c r="B218" s="160" t="s">
        <v>700</v>
      </c>
      <c r="C218" s="69" t="s">
        <v>20</v>
      </c>
      <c r="D218" s="53">
        <f aca="true" t="shared" si="32" ref="D218:N218">D223</f>
        <v>0</v>
      </c>
      <c r="E218" s="53">
        <f t="shared" si="32"/>
        <v>0</v>
      </c>
      <c r="F218" s="53">
        <f t="shared" si="32"/>
        <v>0</v>
      </c>
      <c r="G218" s="53">
        <f t="shared" si="32"/>
        <v>0</v>
      </c>
      <c r="H218" s="53">
        <f t="shared" si="32"/>
        <v>0</v>
      </c>
      <c r="I218" s="53">
        <f t="shared" si="32"/>
        <v>0</v>
      </c>
      <c r="J218" s="53">
        <f t="shared" si="32"/>
        <v>0</v>
      </c>
      <c r="K218" s="53">
        <f t="shared" si="32"/>
        <v>0</v>
      </c>
      <c r="L218" s="53">
        <f t="shared" si="32"/>
        <v>0</v>
      </c>
      <c r="M218" s="53">
        <f t="shared" si="32"/>
        <v>0</v>
      </c>
      <c r="N218" s="53">
        <f t="shared" si="32"/>
        <v>0</v>
      </c>
      <c r="O218" s="53"/>
      <c r="P218" s="103"/>
    </row>
    <row r="219" spans="1:16" ht="15.75">
      <c r="A219" s="186"/>
      <c r="B219" s="160"/>
      <c r="C219" s="69" t="s">
        <v>21</v>
      </c>
      <c r="D219" s="53"/>
      <c r="E219" s="53"/>
      <c r="F219" s="53"/>
      <c r="G219" s="53"/>
      <c r="H219" s="53"/>
      <c r="I219" s="53"/>
      <c r="J219" s="53"/>
      <c r="K219" s="53"/>
      <c r="L219" s="45"/>
      <c r="M219" s="45"/>
      <c r="N219" s="45"/>
      <c r="O219" s="45"/>
      <c r="P219" s="103"/>
    </row>
    <row r="220" spans="1:16" ht="15.75">
      <c r="A220" s="186"/>
      <c r="B220" s="160"/>
      <c r="C220" s="69" t="s">
        <v>243</v>
      </c>
      <c r="D220" s="53"/>
      <c r="E220" s="53"/>
      <c r="F220" s="53"/>
      <c r="G220" s="53"/>
      <c r="H220" s="53"/>
      <c r="I220" s="53"/>
      <c r="J220" s="53"/>
      <c r="K220" s="53"/>
      <c r="L220" s="45"/>
      <c r="M220" s="45"/>
      <c r="N220" s="45"/>
      <c r="O220" s="45"/>
      <c r="P220" s="103"/>
    </row>
    <row r="221" spans="1:16" ht="15.75">
      <c r="A221" s="186"/>
      <c r="B221" s="160"/>
      <c r="C221" s="69" t="s">
        <v>22</v>
      </c>
      <c r="D221" s="53"/>
      <c r="E221" s="53"/>
      <c r="F221" s="53"/>
      <c r="G221" s="53"/>
      <c r="H221" s="53"/>
      <c r="I221" s="53"/>
      <c r="J221" s="53"/>
      <c r="K221" s="53"/>
      <c r="L221" s="45"/>
      <c r="M221" s="45"/>
      <c r="N221" s="45"/>
      <c r="O221" s="45"/>
      <c r="P221" s="103"/>
    </row>
    <row r="222" spans="1:16" ht="18.75" customHeight="1">
      <c r="A222" s="186"/>
      <c r="B222" s="160"/>
      <c r="C222" s="69" t="s">
        <v>36</v>
      </c>
      <c r="D222" s="53"/>
      <c r="E222" s="53"/>
      <c r="F222" s="53"/>
      <c r="G222" s="53"/>
      <c r="H222" s="53"/>
      <c r="I222" s="53"/>
      <c r="J222" s="53"/>
      <c r="K222" s="53"/>
      <c r="L222" s="45"/>
      <c r="M222" s="45"/>
      <c r="N222" s="45"/>
      <c r="O222" s="45"/>
      <c r="P222" s="103"/>
    </row>
    <row r="223" spans="1:16" ht="30">
      <c r="A223" s="186"/>
      <c r="B223" s="160"/>
      <c r="C223" s="69" t="s">
        <v>244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103"/>
    </row>
    <row r="224" spans="1:16" ht="27.75" customHeight="1">
      <c r="A224" s="186"/>
      <c r="B224" s="160"/>
      <c r="C224" s="69" t="s">
        <v>23</v>
      </c>
      <c r="D224" s="53"/>
      <c r="E224" s="53"/>
      <c r="F224" s="53"/>
      <c r="G224" s="53"/>
      <c r="H224" s="53"/>
      <c r="I224" s="53"/>
      <c r="J224" s="53"/>
      <c r="K224" s="53"/>
      <c r="L224" s="45"/>
      <c r="M224" s="45"/>
      <c r="N224" s="45"/>
      <c r="O224" s="45"/>
      <c r="P224" s="103"/>
    </row>
    <row r="225" spans="1:16" s="57" customFormat="1" ht="15.75">
      <c r="A225" s="147" t="s">
        <v>735</v>
      </c>
      <c r="B225" s="147" t="s">
        <v>685</v>
      </c>
      <c r="C225" s="97" t="s">
        <v>20</v>
      </c>
      <c r="D225" s="100">
        <f aca="true" t="shared" si="33" ref="D225:N225">D230</f>
        <v>0</v>
      </c>
      <c r="E225" s="100">
        <f t="shared" si="33"/>
        <v>0</v>
      </c>
      <c r="F225" s="100">
        <f t="shared" si="33"/>
        <v>0</v>
      </c>
      <c r="G225" s="100">
        <f t="shared" si="33"/>
        <v>0</v>
      </c>
      <c r="H225" s="100">
        <f t="shared" si="33"/>
        <v>0</v>
      </c>
      <c r="I225" s="100">
        <f t="shared" si="33"/>
        <v>0</v>
      </c>
      <c r="J225" s="100">
        <f t="shared" si="33"/>
        <v>20</v>
      </c>
      <c r="K225" s="100">
        <f t="shared" si="33"/>
        <v>20</v>
      </c>
      <c r="L225" s="100">
        <f t="shared" si="33"/>
        <v>20</v>
      </c>
      <c r="M225" s="100">
        <f t="shared" si="33"/>
        <v>20</v>
      </c>
      <c r="N225" s="100">
        <f t="shared" si="33"/>
        <v>0</v>
      </c>
      <c r="O225" s="100">
        <f>O230</f>
        <v>0</v>
      </c>
      <c r="P225" s="104"/>
    </row>
    <row r="226" spans="1:16" ht="15.75">
      <c r="A226" s="147"/>
      <c r="B226" s="147"/>
      <c r="C226" s="69" t="s">
        <v>21</v>
      </c>
      <c r="D226" s="53"/>
      <c r="E226" s="53"/>
      <c r="F226" s="53"/>
      <c r="G226" s="53"/>
      <c r="H226" s="53"/>
      <c r="I226" s="53"/>
      <c r="J226" s="53"/>
      <c r="K226" s="53"/>
      <c r="L226" s="45"/>
      <c r="M226" s="45"/>
      <c r="N226" s="45"/>
      <c r="O226" s="45"/>
      <c r="P226" s="103"/>
    </row>
    <row r="227" spans="1:16" ht="15.75">
      <c r="A227" s="147"/>
      <c r="B227" s="147"/>
      <c r="C227" s="69" t="s">
        <v>243</v>
      </c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103"/>
    </row>
    <row r="228" spans="1:16" ht="15.75">
      <c r="A228" s="147"/>
      <c r="B228" s="147"/>
      <c r="C228" s="69" t="s">
        <v>22</v>
      </c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103"/>
    </row>
    <row r="229" spans="1:16" ht="15.75">
      <c r="A229" s="147"/>
      <c r="B229" s="147"/>
      <c r="C229" s="69" t="s">
        <v>36</v>
      </c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103"/>
    </row>
    <row r="230" spans="1:16" ht="30">
      <c r="A230" s="147"/>
      <c r="B230" s="147"/>
      <c r="C230" s="69" t="s">
        <v>244</v>
      </c>
      <c r="D230" s="53">
        <f>'[1]7 средства по кодам'!H193/1000</f>
        <v>0</v>
      </c>
      <c r="E230" s="53">
        <f>'[1]7 средства по кодам'!I193/1000</f>
        <v>0</v>
      </c>
      <c r="F230" s="53">
        <f>'[1]7 средства по кодам'!J193/1000</f>
        <v>0</v>
      </c>
      <c r="G230" s="53">
        <f>'[1]7 средства по кодам'!K193/1000</f>
        <v>0</v>
      </c>
      <c r="H230" s="53">
        <f>'[1]7 средства по кодам'!L193/1000</f>
        <v>0</v>
      </c>
      <c r="I230" s="53">
        <f>'[1]7 средства по кодам'!M193/1000</f>
        <v>0</v>
      </c>
      <c r="J230" s="53">
        <v>20</v>
      </c>
      <c r="K230" s="53">
        <v>20</v>
      </c>
      <c r="L230" s="53">
        <v>20</v>
      </c>
      <c r="M230" s="53">
        <v>20</v>
      </c>
      <c r="N230" s="53">
        <v>0</v>
      </c>
      <c r="O230" s="53">
        <v>0</v>
      </c>
      <c r="P230" s="103"/>
    </row>
    <row r="231" spans="1:16" ht="15.75">
      <c r="A231" s="147"/>
      <c r="B231" s="147"/>
      <c r="C231" s="69" t="s">
        <v>23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103"/>
    </row>
    <row r="232" spans="1:16" s="57" customFormat="1" ht="15.75">
      <c r="A232" s="147" t="s">
        <v>736</v>
      </c>
      <c r="B232" s="147" t="s">
        <v>701</v>
      </c>
      <c r="C232" s="97" t="s">
        <v>20</v>
      </c>
      <c r="D232" s="47">
        <f>D237</f>
        <v>0</v>
      </c>
      <c r="E232" s="47">
        <f aca="true" t="shared" si="34" ref="E232:N232">E237</f>
        <v>0</v>
      </c>
      <c r="F232" s="47">
        <f t="shared" si="34"/>
        <v>0</v>
      </c>
      <c r="G232" s="47">
        <f t="shared" si="34"/>
        <v>0</v>
      </c>
      <c r="H232" s="47">
        <f t="shared" si="34"/>
        <v>0</v>
      </c>
      <c r="I232" s="47">
        <f t="shared" si="34"/>
        <v>0</v>
      </c>
      <c r="J232" s="47">
        <f t="shared" si="34"/>
        <v>0</v>
      </c>
      <c r="K232" s="47">
        <f t="shared" si="34"/>
        <v>0</v>
      </c>
      <c r="L232" s="47">
        <f t="shared" si="34"/>
        <v>0</v>
      </c>
      <c r="M232" s="47">
        <f t="shared" si="34"/>
        <v>0</v>
      </c>
      <c r="N232" s="47">
        <f t="shared" si="34"/>
        <v>0</v>
      </c>
      <c r="O232" s="47">
        <f>O237</f>
        <v>0</v>
      </c>
      <c r="P232" s="104"/>
    </row>
    <row r="233" spans="1:16" ht="15.75">
      <c r="A233" s="147"/>
      <c r="B233" s="147"/>
      <c r="C233" s="69" t="s">
        <v>21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103"/>
    </row>
    <row r="234" spans="1:16" ht="15.75">
      <c r="A234" s="147"/>
      <c r="B234" s="147"/>
      <c r="C234" s="69" t="s">
        <v>243</v>
      </c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103"/>
    </row>
    <row r="235" spans="1:16" ht="15.75">
      <c r="A235" s="147"/>
      <c r="B235" s="147"/>
      <c r="C235" s="69" t="s">
        <v>22</v>
      </c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103"/>
    </row>
    <row r="236" spans="1:16" ht="15.75">
      <c r="A236" s="147"/>
      <c r="B236" s="147"/>
      <c r="C236" s="69" t="s">
        <v>36</v>
      </c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103"/>
    </row>
    <row r="237" spans="1:16" ht="30">
      <c r="A237" s="147"/>
      <c r="B237" s="147"/>
      <c r="C237" s="69" t="s">
        <v>244</v>
      </c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103"/>
    </row>
    <row r="238" spans="1:16" ht="15.75">
      <c r="A238" s="147"/>
      <c r="B238" s="147"/>
      <c r="C238" s="69" t="s">
        <v>23</v>
      </c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103"/>
    </row>
    <row r="239" spans="1:16" s="113" customFormat="1" ht="24.75" customHeight="1">
      <c r="A239" s="194" t="s">
        <v>737</v>
      </c>
      <c r="B239" s="194" t="s">
        <v>687</v>
      </c>
      <c r="C239" s="38" t="s">
        <v>20</v>
      </c>
      <c r="D239" s="45">
        <f>D244</f>
        <v>0</v>
      </c>
      <c r="E239" s="45">
        <f aca="true" t="shared" si="35" ref="E239:K239">E244</f>
        <v>0</v>
      </c>
      <c r="F239" s="45">
        <f t="shared" si="35"/>
        <v>0</v>
      </c>
      <c r="G239" s="45">
        <f t="shared" si="35"/>
        <v>0</v>
      </c>
      <c r="H239" s="45">
        <f t="shared" si="35"/>
        <v>0</v>
      </c>
      <c r="I239" s="45">
        <f t="shared" si="35"/>
        <v>0</v>
      </c>
      <c r="J239" s="45">
        <f t="shared" si="35"/>
        <v>0</v>
      </c>
      <c r="K239" s="45">
        <f t="shared" si="35"/>
        <v>0</v>
      </c>
      <c r="L239" s="45">
        <v>20</v>
      </c>
      <c r="M239" s="45">
        <v>20</v>
      </c>
      <c r="N239" s="45">
        <v>20</v>
      </c>
      <c r="O239" s="45">
        <v>30</v>
      </c>
      <c r="P239" s="69"/>
    </row>
    <row r="240" spans="1:16" s="113" customFormat="1" ht="15.75">
      <c r="A240" s="194"/>
      <c r="B240" s="194"/>
      <c r="C240" s="38" t="s">
        <v>21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103"/>
    </row>
    <row r="241" spans="1:16" s="113" customFormat="1" ht="15.75">
      <c r="A241" s="194"/>
      <c r="B241" s="194"/>
      <c r="C241" s="38" t="s">
        <v>8</v>
      </c>
      <c r="D241" s="47"/>
      <c r="E241" s="47"/>
      <c r="F241" s="100"/>
      <c r="G241" s="100"/>
      <c r="H241" s="100"/>
      <c r="I241" s="100"/>
      <c r="J241" s="100"/>
      <c r="K241" s="100"/>
      <c r="L241" s="47"/>
      <c r="M241" s="47"/>
      <c r="N241" s="47"/>
      <c r="O241" s="47"/>
      <c r="P241" s="103"/>
    </row>
    <row r="242" spans="1:16" s="113" customFormat="1" ht="15.75">
      <c r="A242" s="194"/>
      <c r="B242" s="194"/>
      <c r="C242" s="38" t="s">
        <v>22</v>
      </c>
      <c r="D242" s="45"/>
      <c r="E242" s="45"/>
      <c r="F242" s="53"/>
      <c r="G242" s="53"/>
      <c r="H242" s="53"/>
      <c r="I242" s="53"/>
      <c r="J242" s="53"/>
      <c r="K242" s="53"/>
      <c r="L242" s="45"/>
      <c r="M242" s="45"/>
      <c r="N242" s="45"/>
      <c r="O242" s="45"/>
      <c r="P242" s="103"/>
    </row>
    <row r="243" spans="1:16" s="113" customFormat="1" ht="15.75">
      <c r="A243" s="194"/>
      <c r="B243" s="194"/>
      <c r="C243" s="38" t="s">
        <v>36</v>
      </c>
      <c r="D243" s="45"/>
      <c r="E243" s="45"/>
      <c r="F243" s="53"/>
      <c r="G243" s="53"/>
      <c r="H243" s="53"/>
      <c r="I243" s="53"/>
      <c r="J243" s="53"/>
      <c r="K243" s="53"/>
      <c r="L243" s="45"/>
      <c r="M243" s="45"/>
      <c r="N243" s="45"/>
      <c r="O243" s="45"/>
      <c r="P243" s="103"/>
    </row>
    <row r="244" spans="1:16" s="113" customFormat="1" ht="30">
      <c r="A244" s="194"/>
      <c r="B244" s="194"/>
      <c r="C244" s="38" t="s">
        <v>61</v>
      </c>
      <c r="D244" s="53">
        <f>'[1]7 средства по кодам'!H207/1000</f>
        <v>0</v>
      </c>
      <c r="E244" s="53">
        <f>'[1]7 средства по кодам'!I207/1000</f>
        <v>0</v>
      </c>
      <c r="F244" s="53">
        <f>'[1]7 средства по кодам'!J207/1000</f>
        <v>0</v>
      </c>
      <c r="G244" s="53">
        <f>'[1]7 средства по кодам'!K207/1000</f>
        <v>0</v>
      </c>
      <c r="H244" s="53">
        <f>'[1]7 средства по кодам'!L207/1000</f>
        <v>0</v>
      </c>
      <c r="I244" s="53">
        <f>'[1]7 средства по кодам'!M207/1000</f>
        <v>0</v>
      </c>
      <c r="J244" s="53">
        <f>'[1]7 средства по кодам'!N207/1000</f>
        <v>0</v>
      </c>
      <c r="K244" s="53">
        <f>'[1]7 средства по кодам'!O207/1000</f>
        <v>0</v>
      </c>
      <c r="L244" s="45">
        <v>20</v>
      </c>
      <c r="M244" s="45">
        <v>20</v>
      </c>
      <c r="N244" s="45">
        <v>20</v>
      </c>
      <c r="O244" s="45">
        <v>30</v>
      </c>
      <c r="P244" s="103"/>
    </row>
    <row r="245" spans="1:16" s="113" customFormat="1" ht="19.5" customHeight="1">
      <c r="A245" s="194"/>
      <c r="B245" s="194"/>
      <c r="C245" s="38" t="s">
        <v>23</v>
      </c>
      <c r="D245" s="45"/>
      <c r="E245" s="45"/>
      <c r="F245" s="53"/>
      <c r="G245" s="53"/>
      <c r="H245" s="53"/>
      <c r="I245" s="53"/>
      <c r="J245" s="53"/>
      <c r="K245" s="53"/>
      <c r="L245" s="45"/>
      <c r="M245" s="45"/>
      <c r="N245" s="45"/>
      <c r="O245" s="45"/>
      <c r="P245" s="103"/>
    </row>
    <row r="246" spans="1:16" s="113" customFormat="1" ht="12.75" customHeight="1" hidden="1">
      <c r="A246" s="158" t="s">
        <v>508</v>
      </c>
      <c r="B246" s="195" t="s">
        <v>601</v>
      </c>
      <c r="C246" s="38" t="s">
        <v>20</v>
      </c>
      <c r="D246" s="45">
        <f>D251</f>
        <v>0</v>
      </c>
      <c r="E246" s="45">
        <f aca="true" t="shared" si="36" ref="E246:K246">E251</f>
        <v>0</v>
      </c>
      <c r="F246" s="45">
        <f t="shared" si="36"/>
        <v>0</v>
      </c>
      <c r="G246" s="45">
        <f t="shared" si="36"/>
        <v>0</v>
      </c>
      <c r="H246" s="45">
        <f t="shared" si="36"/>
        <v>0</v>
      </c>
      <c r="I246" s="45">
        <f t="shared" si="36"/>
        <v>0</v>
      </c>
      <c r="J246" s="45">
        <f t="shared" si="36"/>
        <v>0</v>
      </c>
      <c r="K246" s="45">
        <f t="shared" si="36"/>
        <v>0</v>
      </c>
      <c r="L246" s="45">
        <v>20</v>
      </c>
      <c r="M246" s="45">
        <v>20</v>
      </c>
      <c r="N246" s="45">
        <f>N251</f>
        <v>0</v>
      </c>
      <c r="O246" s="45">
        <f>O251</f>
        <v>0</v>
      </c>
      <c r="P246" s="197"/>
    </row>
    <row r="247" spans="1:16" s="113" customFormat="1" ht="16.5" customHeight="1" hidden="1">
      <c r="A247" s="158"/>
      <c r="B247" s="195"/>
      <c r="C247" s="38" t="s">
        <v>21</v>
      </c>
      <c r="D247" s="45"/>
      <c r="E247" s="45"/>
      <c r="F247" s="53"/>
      <c r="G247" s="53"/>
      <c r="H247" s="53"/>
      <c r="I247" s="53"/>
      <c r="J247" s="53"/>
      <c r="K247" s="53"/>
      <c r="L247" s="45"/>
      <c r="M247" s="45"/>
      <c r="N247" s="45"/>
      <c r="O247" s="45"/>
      <c r="P247" s="197"/>
    </row>
    <row r="248" spans="1:16" s="113" customFormat="1" ht="15.75" customHeight="1" hidden="1">
      <c r="A248" s="158"/>
      <c r="B248" s="195"/>
      <c r="C248" s="38" t="s">
        <v>8</v>
      </c>
      <c r="D248" s="45"/>
      <c r="E248" s="45"/>
      <c r="F248" s="53"/>
      <c r="G248" s="53"/>
      <c r="H248" s="53"/>
      <c r="I248" s="53"/>
      <c r="J248" s="53"/>
      <c r="K248" s="53"/>
      <c r="L248" s="45"/>
      <c r="M248" s="45"/>
      <c r="N248" s="45"/>
      <c r="O248" s="45"/>
      <c r="P248" s="197"/>
    </row>
    <row r="249" spans="1:16" s="113" customFormat="1" ht="13.5" customHeight="1" hidden="1">
      <c r="A249" s="158"/>
      <c r="B249" s="195"/>
      <c r="C249" s="38" t="s">
        <v>22</v>
      </c>
      <c r="D249" s="45"/>
      <c r="E249" s="45"/>
      <c r="F249" s="53"/>
      <c r="G249" s="53"/>
      <c r="H249" s="53"/>
      <c r="I249" s="53"/>
      <c r="J249" s="53"/>
      <c r="K249" s="53"/>
      <c r="L249" s="45"/>
      <c r="M249" s="45"/>
      <c r="N249" s="45"/>
      <c r="O249" s="45"/>
      <c r="P249" s="197"/>
    </row>
    <row r="250" spans="1:16" s="113" customFormat="1" ht="14.25" customHeight="1" hidden="1">
      <c r="A250" s="158"/>
      <c r="B250" s="195"/>
      <c r="C250" s="38" t="s">
        <v>36</v>
      </c>
      <c r="D250" s="45"/>
      <c r="E250" s="45"/>
      <c r="F250" s="53"/>
      <c r="G250" s="53"/>
      <c r="H250" s="53"/>
      <c r="I250" s="53"/>
      <c r="J250" s="53"/>
      <c r="K250" s="53"/>
      <c r="L250" s="45"/>
      <c r="M250" s="45"/>
      <c r="N250" s="45"/>
      <c r="O250" s="45"/>
      <c r="P250" s="197"/>
    </row>
    <row r="251" spans="1:16" s="113" customFormat="1" ht="29.25" customHeight="1" hidden="1">
      <c r="A251" s="158"/>
      <c r="B251" s="195"/>
      <c r="C251" s="38" t="s">
        <v>32</v>
      </c>
      <c r="D251" s="53">
        <f>'[1]7 средства по кодам'!H214/1000</f>
        <v>0</v>
      </c>
      <c r="E251" s="53">
        <f>'[1]7 средства по кодам'!I214/1000</f>
        <v>0</v>
      </c>
      <c r="F251" s="53">
        <f>'[1]7 средства по кодам'!J214/1000</f>
        <v>0</v>
      </c>
      <c r="G251" s="53">
        <f>'[1]7 средства по кодам'!K214/1000</f>
        <v>0</v>
      </c>
      <c r="H251" s="53">
        <f>'[1]7 средства по кодам'!L214/1000</f>
        <v>0</v>
      </c>
      <c r="I251" s="53">
        <f>'[1]7 средства по кодам'!M214/1000</f>
        <v>0</v>
      </c>
      <c r="J251" s="53">
        <f>'[1]7 средства по кодам'!N214/1000</f>
        <v>0</v>
      </c>
      <c r="K251" s="53">
        <f>'[1]7 средства по кодам'!O214/1000</f>
        <v>0</v>
      </c>
      <c r="L251" s="45">
        <v>20</v>
      </c>
      <c r="M251" s="45">
        <v>20</v>
      </c>
      <c r="N251" s="45">
        <v>0</v>
      </c>
      <c r="O251" s="45">
        <v>0</v>
      </c>
      <c r="P251" s="197"/>
    </row>
    <row r="252" spans="1:16" s="113" customFormat="1" ht="18" customHeight="1" hidden="1">
      <c r="A252" s="158"/>
      <c r="B252" s="195"/>
      <c r="C252" s="38" t="s">
        <v>23</v>
      </c>
      <c r="D252" s="45"/>
      <c r="E252" s="45"/>
      <c r="F252" s="53"/>
      <c r="G252" s="53"/>
      <c r="H252" s="53"/>
      <c r="I252" s="53"/>
      <c r="J252" s="53"/>
      <c r="K252" s="53"/>
      <c r="L252" s="45"/>
      <c r="M252" s="45"/>
      <c r="N252" s="45"/>
      <c r="O252" s="45"/>
      <c r="P252" s="197"/>
    </row>
    <row r="253" spans="1:16" s="113" customFormat="1" ht="12.75" customHeight="1" hidden="1">
      <c r="A253" s="158"/>
      <c r="B253" s="195" t="str">
        <f>'[2]7 средства по кодам'!$B$25</f>
        <v>Приобретение и установка уличного баннера</v>
      </c>
      <c r="C253" s="38" t="s">
        <v>20</v>
      </c>
      <c r="D253" s="45">
        <f>D258</f>
        <v>0</v>
      </c>
      <c r="E253" s="45">
        <f aca="true" t="shared" si="37" ref="E253:M253">E258</f>
        <v>0</v>
      </c>
      <c r="F253" s="45">
        <f t="shared" si="37"/>
        <v>0</v>
      </c>
      <c r="G253" s="45">
        <f t="shared" si="37"/>
        <v>0</v>
      </c>
      <c r="H253" s="45">
        <f t="shared" si="37"/>
        <v>0</v>
      </c>
      <c r="I253" s="45">
        <f t="shared" si="37"/>
        <v>0</v>
      </c>
      <c r="J253" s="45">
        <f t="shared" si="37"/>
        <v>0</v>
      </c>
      <c r="K253" s="45">
        <f t="shared" si="37"/>
        <v>0</v>
      </c>
      <c r="L253" s="45">
        <f t="shared" si="37"/>
        <v>0</v>
      </c>
      <c r="M253" s="45">
        <f t="shared" si="37"/>
        <v>0</v>
      </c>
      <c r="N253" s="45">
        <v>20</v>
      </c>
      <c r="O253" s="45">
        <v>0</v>
      </c>
      <c r="P253" s="197"/>
    </row>
    <row r="254" spans="1:16" s="113" customFormat="1" ht="14.25" customHeight="1" hidden="1">
      <c r="A254" s="158"/>
      <c r="B254" s="195"/>
      <c r="C254" s="38" t="s">
        <v>21</v>
      </c>
      <c r="D254" s="45"/>
      <c r="E254" s="45"/>
      <c r="F254" s="53"/>
      <c r="G254" s="53"/>
      <c r="H254" s="53"/>
      <c r="I254" s="53"/>
      <c r="J254" s="53"/>
      <c r="K254" s="53"/>
      <c r="L254" s="45"/>
      <c r="M254" s="45"/>
      <c r="N254" s="45"/>
      <c r="O254" s="45"/>
      <c r="P254" s="197"/>
    </row>
    <row r="255" spans="1:16" s="113" customFormat="1" ht="12.75" customHeight="1" hidden="1">
      <c r="A255" s="158"/>
      <c r="B255" s="195"/>
      <c r="C255" s="38" t="s">
        <v>8</v>
      </c>
      <c r="D255" s="45"/>
      <c r="E255" s="45"/>
      <c r="F255" s="53"/>
      <c r="G255" s="53"/>
      <c r="H255" s="53"/>
      <c r="I255" s="53"/>
      <c r="J255" s="53"/>
      <c r="K255" s="53"/>
      <c r="L255" s="45"/>
      <c r="M255" s="45"/>
      <c r="N255" s="45"/>
      <c r="O255" s="45"/>
      <c r="P255" s="197"/>
    </row>
    <row r="256" spans="1:16" s="113" customFormat="1" ht="14.25" customHeight="1" hidden="1">
      <c r="A256" s="158"/>
      <c r="B256" s="195"/>
      <c r="C256" s="38" t="s">
        <v>22</v>
      </c>
      <c r="D256" s="45"/>
      <c r="E256" s="45"/>
      <c r="F256" s="53"/>
      <c r="G256" s="53"/>
      <c r="H256" s="53"/>
      <c r="I256" s="53"/>
      <c r="J256" s="53"/>
      <c r="K256" s="53"/>
      <c r="L256" s="45"/>
      <c r="M256" s="45"/>
      <c r="N256" s="45"/>
      <c r="O256" s="45"/>
      <c r="P256" s="197"/>
    </row>
    <row r="257" spans="1:16" s="113" customFormat="1" ht="13.5" customHeight="1" hidden="1">
      <c r="A257" s="158"/>
      <c r="B257" s="195"/>
      <c r="C257" s="38" t="s">
        <v>36</v>
      </c>
      <c r="D257" s="45"/>
      <c r="E257" s="45"/>
      <c r="F257" s="53"/>
      <c r="G257" s="53"/>
      <c r="H257" s="53"/>
      <c r="I257" s="53"/>
      <c r="J257" s="53"/>
      <c r="K257" s="53"/>
      <c r="L257" s="45"/>
      <c r="M257" s="45"/>
      <c r="N257" s="45"/>
      <c r="O257" s="45"/>
      <c r="P257" s="197"/>
    </row>
    <row r="258" spans="1:16" s="113" customFormat="1" ht="28.5" customHeight="1" hidden="1">
      <c r="A258" s="158"/>
      <c r="B258" s="195"/>
      <c r="C258" s="38" t="s">
        <v>32</v>
      </c>
      <c r="D258" s="45">
        <v>0</v>
      </c>
      <c r="E258" s="45">
        <v>0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20</v>
      </c>
      <c r="O258" s="45">
        <v>0</v>
      </c>
      <c r="P258" s="197"/>
    </row>
    <row r="259" spans="1:16" s="113" customFormat="1" ht="14.25" customHeight="1" hidden="1">
      <c r="A259" s="158"/>
      <c r="B259" s="195"/>
      <c r="C259" s="38" t="s">
        <v>23</v>
      </c>
      <c r="D259" s="45"/>
      <c r="E259" s="45"/>
      <c r="F259" s="53"/>
      <c r="G259" s="53"/>
      <c r="H259" s="53"/>
      <c r="I259" s="53"/>
      <c r="J259" s="53"/>
      <c r="K259" s="53"/>
      <c r="L259" s="45"/>
      <c r="M259" s="45"/>
      <c r="N259" s="45"/>
      <c r="O259" s="45"/>
      <c r="P259" s="197"/>
    </row>
    <row r="260" spans="1:16" s="113" customFormat="1" ht="15.75" customHeight="1" hidden="1">
      <c r="A260" s="158"/>
      <c r="B260" s="195" t="str">
        <f>'[2]7 средства по кодам'!$B$28</f>
        <v>Приобретение и установка уличного баннера</v>
      </c>
      <c r="C260" s="38" t="s">
        <v>20</v>
      </c>
      <c r="D260" s="45">
        <f>D265</f>
        <v>0</v>
      </c>
      <c r="E260" s="45">
        <f aca="true" t="shared" si="38" ref="E260:O260">E265</f>
        <v>0</v>
      </c>
      <c r="F260" s="45">
        <f t="shared" si="38"/>
        <v>0</v>
      </c>
      <c r="G260" s="45">
        <f t="shared" si="38"/>
        <v>0</v>
      </c>
      <c r="H260" s="45">
        <f t="shared" si="38"/>
        <v>0</v>
      </c>
      <c r="I260" s="45">
        <f t="shared" si="38"/>
        <v>0</v>
      </c>
      <c r="J260" s="45">
        <f t="shared" si="38"/>
        <v>0</v>
      </c>
      <c r="K260" s="45">
        <f t="shared" si="38"/>
        <v>0</v>
      </c>
      <c r="L260" s="45">
        <f t="shared" si="38"/>
        <v>0</v>
      </c>
      <c r="M260" s="45">
        <f t="shared" si="38"/>
        <v>0</v>
      </c>
      <c r="N260" s="45">
        <f t="shared" si="38"/>
        <v>0</v>
      </c>
      <c r="O260" s="45">
        <f t="shared" si="38"/>
        <v>30</v>
      </c>
      <c r="P260" s="197"/>
    </row>
    <row r="261" spans="1:16" s="113" customFormat="1" ht="15.75" hidden="1">
      <c r="A261" s="158"/>
      <c r="B261" s="195"/>
      <c r="C261" s="38" t="s">
        <v>21</v>
      </c>
      <c r="D261" s="45"/>
      <c r="E261" s="45"/>
      <c r="F261" s="53"/>
      <c r="G261" s="53"/>
      <c r="H261" s="53"/>
      <c r="I261" s="53"/>
      <c r="J261" s="53"/>
      <c r="K261" s="53"/>
      <c r="L261" s="45"/>
      <c r="M261" s="45"/>
      <c r="N261" s="45"/>
      <c r="O261" s="45"/>
      <c r="P261" s="197"/>
    </row>
    <row r="262" spans="1:16" s="113" customFormat="1" ht="15.75" hidden="1">
      <c r="A262" s="158"/>
      <c r="B262" s="195"/>
      <c r="C262" s="38" t="s">
        <v>8</v>
      </c>
      <c r="D262" s="45"/>
      <c r="E262" s="45"/>
      <c r="F262" s="53"/>
      <c r="G262" s="53"/>
      <c r="H262" s="53"/>
      <c r="I262" s="53"/>
      <c r="J262" s="53"/>
      <c r="K262" s="53"/>
      <c r="L262" s="45"/>
      <c r="M262" s="45"/>
      <c r="N262" s="45"/>
      <c r="O262" s="45"/>
      <c r="P262" s="197"/>
    </row>
    <row r="263" spans="1:16" s="113" customFormat="1" ht="15.75" hidden="1">
      <c r="A263" s="158"/>
      <c r="B263" s="195"/>
      <c r="C263" s="38" t="s">
        <v>22</v>
      </c>
      <c r="D263" s="45"/>
      <c r="E263" s="45"/>
      <c r="F263" s="53"/>
      <c r="G263" s="53"/>
      <c r="H263" s="53"/>
      <c r="I263" s="53"/>
      <c r="J263" s="53"/>
      <c r="K263" s="53"/>
      <c r="L263" s="45"/>
      <c r="M263" s="45"/>
      <c r="N263" s="45"/>
      <c r="O263" s="45"/>
      <c r="P263" s="197"/>
    </row>
    <row r="264" spans="1:16" s="113" customFormat="1" ht="15.75" hidden="1">
      <c r="A264" s="158"/>
      <c r="B264" s="195"/>
      <c r="C264" s="38" t="s">
        <v>36</v>
      </c>
      <c r="D264" s="45"/>
      <c r="E264" s="45"/>
      <c r="F264" s="53"/>
      <c r="G264" s="53"/>
      <c r="H264" s="53"/>
      <c r="I264" s="53"/>
      <c r="J264" s="53"/>
      <c r="K264" s="53"/>
      <c r="L264" s="45"/>
      <c r="M264" s="45"/>
      <c r="N264" s="45"/>
      <c r="O264" s="45"/>
      <c r="P264" s="197"/>
    </row>
    <row r="265" spans="1:16" s="113" customFormat="1" ht="30" hidden="1">
      <c r="A265" s="158"/>
      <c r="B265" s="195"/>
      <c r="C265" s="38" t="s">
        <v>32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30</v>
      </c>
      <c r="P265" s="197"/>
    </row>
    <row r="266" spans="1:16" s="113" customFormat="1" ht="15.75" hidden="1">
      <c r="A266" s="158"/>
      <c r="B266" s="195"/>
      <c r="C266" s="38" t="s">
        <v>23</v>
      </c>
      <c r="D266" s="53"/>
      <c r="E266" s="53"/>
      <c r="F266" s="53"/>
      <c r="G266" s="53"/>
      <c r="H266" s="53"/>
      <c r="I266" s="53"/>
      <c r="J266" s="53"/>
      <c r="K266" s="53"/>
      <c r="L266" s="45"/>
      <c r="M266" s="45"/>
      <c r="N266" s="45"/>
      <c r="O266" s="45"/>
      <c r="P266" s="197"/>
    </row>
    <row r="267" spans="1:16" s="113" customFormat="1" ht="15.75">
      <c r="A267" s="176" t="s">
        <v>738</v>
      </c>
      <c r="B267" s="176" t="s">
        <v>739</v>
      </c>
      <c r="C267" s="122" t="s">
        <v>20</v>
      </c>
      <c r="D267" s="140">
        <v>5</v>
      </c>
      <c r="E267" s="140">
        <v>0</v>
      </c>
      <c r="F267" s="140">
        <f>'[5]7 средства по кодам'!J268</f>
        <v>0</v>
      </c>
      <c r="G267" s="140">
        <f>'[5]7 средства по кодам'!K268</f>
        <v>0</v>
      </c>
      <c r="H267" s="140">
        <v>0</v>
      </c>
      <c r="I267" s="140">
        <v>0</v>
      </c>
      <c r="J267" s="140">
        <v>5</v>
      </c>
      <c r="K267" s="140">
        <v>0</v>
      </c>
      <c r="L267" s="140">
        <v>5</v>
      </c>
      <c r="M267" s="140">
        <v>0</v>
      </c>
      <c r="N267" s="140">
        <v>0</v>
      </c>
      <c r="O267" s="140">
        <v>0</v>
      </c>
      <c r="P267" s="103"/>
    </row>
    <row r="268" spans="1:16" s="113" customFormat="1" ht="15.75">
      <c r="A268" s="176"/>
      <c r="B268" s="176"/>
      <c r="C268" s="123" t="s">
        <v>21</v>
      </c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45"/>
      <c r="O268" s="45"/>
      <c r="P268" s="103"/>
    </row>
    <row r="269" spans="1:16" s="113" customFormat="1" ht="15.75">
      <c r="A269" s="176"/>
      <c r="B269" s="176"/>
      <c r="C269" s="123" t="s">
        <v>8</v>
      </c>
      <c r="D269" s="140"/>
      <c r="E269" s="140"/>
      <c r="F269" s="140"/>
      <c r="G269" s="140"/>
      <c r="H269" s="140"/>
      <c r="I269" s="140"/>
      <c r="J269" s="140"/>
      <c r="K269" s="140"/>
      <c r="L269" s="142"/>
      <c r="M269" s="142"/>
      <c r="N269" s="45"/>
      <c r="O269" s="45"/>
      <c r="P269" s="103"/>
    </row>
    <row r="270" spans="1:16" s="113" customFormat="1" ht="15.75">
      <c r="A270" s="176"/>
      <c r="B270" s="176"/>
      <c r="C270" s="123" t="s">
        <v>22</v>
      </c>
      <c r="D270" s="143"/>
      <c r="E270" s="143"/>
      <c r="F270" s="143"/>
      <c r="G270" s="143"/>
      <c r="H270" s="143"/>
      <c r="I270" s="143"/>
      <c r="J270" s="143"/>
      <c r="K270" s="143"/>
      <c r="L270" s="144"/>
      <c r="M270" s="144"/>
      <c r="N270" s="45"/>
      <c r="O270" s="45"/>
      <c r="P270" s="103"/>
    </row>
    <row r="271" spans="1:16" s="113" customFormat="1" ht="15.75">
      <c r="A271" s="176"/>
      <c r="B271" s="176"/>
      <c r="C271" s="123" t="s">
        <v>36</v>
      </c>
      <c r="D271" s="143"/>
      <c r="E271" s="143"/>
      <c r="F271" s="143"/>
      <c r="G271" s="143"/>
      <c r="H271" s="143"/>
      <c r="I271" s="143"/>
      <c r="J271" s="143"/>
      <c r="K271" s="143"/>
      <c r="L271" s="144"/>
      <c r="M271" s="144"/>
      <c r="N271" s="45"/>
      <c r="O271" s="45"/>
      <c r="P271" s="103"/>
    </row>
    <row r="272" spans="1:16" s="113" customFormat="1" ht="25.5">
      <c r="A272" s="176"/>
      <c r="B272" s="176"/>
      <c r="C272" s="123" t="s">
        <v>61</v>
      </c>
      <c r="D272" s="143">
        <v>0</v>
      </c>
      <c r="E272" s="143">
        <v>0</v>
      </c>
      <c r="F272" s="143">
        <f>'[5]7 средства по кодам'!J268</f>
        <v>0</v>
      </c>
      <c r="G272" s="143">
        <f>'[5]7 средства по кодам'!K268</f>
        <v>0</v>
      </c>
      <c r="H272" s="143">
        <v>0</v>
      </c>
      <c r="I272" s="143">
        <v>0</v>
      </c>
      <c r="J272" s="143">
        <v>5</v>
      </c>
      <c r="K272" s="143">
        <v>0</v>
      </c>
      <c r="L272" s="143">
        <v>5</v>
      </c>
      <c r="M272" s="143">
        <v>0</v>
      </c>
      <c r="N272" s="143">
        <v>0</v>
      </c>
      <c r="O272" s="143">
        <v>0</v>
      </c>
      <c r="P272" s="103"/>
    </row>
    <row r="273" spans="1:16" s="113" customFormat="1" ht="15.75">
      <c r="A273" s="176"/>
      <c r="B273" s="176"/>
      <c r="C273" s="123" t="s">
        <v>23</v>
      </c>
      <c r="D273" s="124"/>
      <c r="E273" s="124"/>
      <c r="F273" s="124"/>
      <c r="G273" s="124"/>
      <c r="H273" s="124"/>
      <c r="I273" s="124"/>
      <c r="J273" s="124"/>
      <c r="K273" s="124"/>
      <c r="L273" s="125"/>
      <c r="M273" s="125"/>
      <c r="N273" s="45"/>
      <c r="O273" s="45"/>
      <c r="P273" s="103"/>
    </row>
    <row r="274" spans="1:16" ht="15.75">
      <c r="A274" s="193" t="s">
        <v>535</v>
      </c>
      <c r="B274" s="193"/>
      <c r="C274" s="103"/>
      <c r="D274" s="47">
        <f>'7 средства по кодам'!H294</f>
        <v>260401.02506</v>
      </c>
      <c r="E274" s="47">
        <f>'7 средства по кодам'!I294</f>
        <v>249473.53088999997</v>
      </c>
      <c r="F274" s="47">
        <f>'7 средства по кодам'!J294</f>
        <v>46167.20133</v>
      </c>
      <c r="G274" s="47">
        <f>'7 средства по кодам'!K294</f>
        <v>43124.993930000004</v>
      </c>
      <c r="H274" s="47">
        <f>'7 средства по кодам'!L294</f>
        <v>103033.06849</v>
      </c>
      <c r="I274" s="47">
        <f>'7 средства по кодам'!M294</f>
        <v>100528.55417999999</v>
      </c>
      <c r="J274" s="47">
        <f>'7 средства по кодам'!N294</f>
        <v>152695.84498999998</v>
      </c>
      <c r="K274" s="47">
        <f>'7 средства по кодам'!O294</f>
        <v>143315.90699</v>
      </c>
      <c r="L274" s="47">
        <f>'7 средства по кодам'!P294</f>
        <v>235354.92846999996</v>
      </c>
      <c r="M274" s="47">
        <f>'7 средства по кодам'!Q294</f>
        <v>228490.52516999998</v>
      </c>
      <c r="N274" s="47">
        <f>'7 средства по кодам'!R294</f>
        <v>211164.36926</v>
      </c>
      <c r="O274" s="47">
        <f>'7 средства по кодам'!S294</f>
        <v>129807.67138</v>
      </c>
      <c r="P274" s="103"/>
    </row>
    <row r="275" spans="1:13" ht="15.75">
      <c r="A275" s="101"/>
      <c r="B275" s="101"/>
      <c r="L275" s="60"/>
      <c r="M275" s="60"/>
    </row>
    <row r="276" spans="1:13" ht="15.75">
      <c r="A276" s="101"/>
      <c r="B276" s="101"/>
      <c r="L276" s="60"/>
      <c r="M276" s="60"/>
    </row>
    <row r="277" spans="1:18" s="109" customFormat="1" ht="15.75">
      <c r="A277" s="110" t="s">
        <v>702</v>
      </c>
      <c r="B277" s="105"/>
      <c r="C277" s="106"/>
      <c r="D277" s="57"/>
      <c r="E277" s="57"/>
      <c r="F277" s="57"/>
      <c r="G277" s="57"/>
      <c r="L277" s="108"/>
      <c r="M277" s="57"/>
      <c r="N277" s="57"/>
      <c r="O277" s="57"/>
      <c r="P277" s="57"/>
      <c r="Q277" s="57"/>
      <c r="R277" s="30"/>
    </row>
    <row r="278" spans="1:18" s="37" customFormat="1" ht="15.75">
      <c r="A278" s="110" t="s">
        <v>703</v>
      </c>
      <c r="B278" s="25"/>
      <c r="C278" s="22"/>
      <c r="D278" s="63"/>
      <c r="E278" s="63"/>
      <c r="F278" s="63"/>
      <c r="G278" s="63"/>
      <c r="H278" s="101"/>
      <c r="I278" s="101"/>
      <c r="J278" s="107"/>
      <c r="K278" s="107"/>
      <c r="L278" s="108" t="s">
        <v>704</v>
      </c>
      <c r="M278" s="63"/>
      <c r="N278" s="63"/>
      <c r="O278" s="63"/>
      <c r="P278" s="63"/>
      <c r="Q278" s="63"/>
      <c r="R278" s="24"/>
    </row>
    <row r="279" spans="3:16" s="63" customFormat="1" ht="15.75">
      <c r="C279" s="99"/>
      <c r="P279" s="99"/>
    </row>
    <row r="280" spans="3:16" s="63" customFormat="1" ht="15.75">
      <c r="C280" s="99"/>
      <c r="P280" s="99"/>
    </row>
    <row r="281" spans="1:16" s="63" customFormat="1" ht="15.75">
      <c r="A281" s="63" t="s">
        <v>532</v>
      </c>
      <c r="C281" s="99"/>
      <c r="P281" s="99"/>
    </row>
    <row r="282" spans="3:16" s="63" customFormat="1" ht="15.75">
      <c r="C282" s="99"/>
      <c r="P282" s="99"/>
    </row>
    <row r="283" spans="3:16" s="63" customFormat="1" ht="15.75">
      <c r="C283" s="99"/>
      <c r="P283" s="99"/>
    </row>
    <row r="284" spans="3:16" s="63" customFormat="1" ht="15.75">
      <c r="C284" s="99"/>
      <c r="P284" s="99"/>
    </row>
  </sheetData>
  <sheetProtection/>
  <mergeCells count="90">
    <mergeCell ref="A113:A119"/>
    <mergeCell ref="B113:B119"/>
    <mergeCell ref="P260:P266"/>
    <mergeCell ref="A239:A245"/>
    <mergeCell ref="B239:B245"/>
    <mergeCell ref="A246:A266"/>
    <mergeCell ref="B246:B252"/>
    <mergeCell ref="P246:P252"/>
    <mergeCell ref="B253:B259"/>
    <mergeCell ref="P253:P259"/>
    <mergeCell ref="B260:B266"/>
    <mergeCell ref="A211:A217"/>
    <mergeCell ref="B211:B217"/>
    <mergeCell ref="A162:A168"/>
    <mergeCell ref="B162:B168"/>
    <mergeCell ref="A169:A175"/>
    <mergeCell ref="B169:B175"/>
    <mergeCell ref="A218:A224"/>
    <mergeCell ref="B218:B224"/>
    <mergeCell ref="A190:A196"/>
    <mergeCell ref="B190:B196"/>
    <mergeCell ref="A197:A203"/>
    <mergeCell ref="B197:B203"/>
    <mergeCell ref="A204:A210"/>
    <mergeCell ref="B204:B210"/>
    <mergeCell ref="A176:A182"/>
    <mergeCell ref="B176:B182"/>
    <mergeCell ref="A183:A189"/>
    <mergeCell ref="B183:B189"/>
    <mergeCell ref="A141:A147"/>
    <mergeCell ref="B141:B147"/>
    <mergeCell ref="A148:A154"/>
    <mergeCell ref="B148:B154"/>
    <mergeCell ref="A155:A161"/>
    <mergeCell ref="B155:B161"/>
    <mergeCell ref="A120:A126"/>
    <mergeCell ref="B120:B126"/>
    <mergeCell ref="A127:A133"/>
    <mergeCell ref="B127:B133"/>
    <mergeCell ref="A134:A140"/>
    <mergeCell ref="B134:B140"/>
    <mergeCell ref="A99:A105"/>
    <mergeCell ref="B99:B105"/>
    <mergeCell ref="A106:A112"/>
    <mergeCell ref="B106:B112"/>
    <mergeCell ref="A78:A84"/>
    <mergeCell ref="B78:B84"/>
    <mergeCell ref="A85:A91"/>
    <mergeCell ref="B85:B91"/>
    <mergeCell ref="A92:A98"/>
    <mergeCell ref="B92:B98"/>
    <mergeCell ref="B21:B28"/>
    <mergeCell ref="D2:E3"/>
    <mergeCell ref="A64:A70"/>
    <mergeCell ref="B64:B70"/>
    <mergeCell ref="A71:A77"/>
    <mergeCell ref="B71:B77"/>
    <mergeCell ref="A50:A56"/>
    <mergeCell ref="B50:B56"/>
    <mergeCell ref="A57:A63"/>
    <mergeCell ref="A43:A49"/>
    <mergeCell ref="B43:B49"/>
    <mergeCell ref="P2:P4"/>
    <mergeCell ref="A13:A20"/>
    <mergeCell ref="B13:B20"/>
    <mergeCell ref="H3:I3"/>
    <mergeCell ref="J3:K3"/>
    <mergeCell ref="A21:A28"/>
    <mergeCell ref="F3:G3"/>
    <mergeCell ref="L3:M3"/>
    <mergeCell ref="A225:A231"/>
    <mergeCell ref="B225:B231"/>
    <mergeCell ref="B5:B12"/>
    <mergeCell ref="B57:B63"/>
    <mergeCell ref="A2:A4"/>
    <mergeCell ref="B2:B4"/>
    <mergeCell ref="A29:A35"/>
    <mergeCell ref="B29:B35"/>
    <mergeCell ref="A36:A42"/>
    <mergeCell ref="B36:B42"/>
    <mergeCell ref="A267:A273"/>
    <mergeCell ref="B267:B273"/>
    <mergeCell ref="A274:B274"/>
    <mergeCell ref="A232:A238"/>
    <mergeCell ref="B232:B238"/>
    <mergeCell ref="A1:P1"/>
    <mergeCell ref="A5:A12"/>
    <mergeCell ref="N2:O3"/>
    <mergeCell ref="F2:M2"/>
    <mergeCell ref="C2:C4"/>
  </mergeCells>
  <printOptions/>
  <pageMargins left="0.7" right="0.7" top="0.75" bottom="0.75" header="0.3" footer="0.3"/>
  <pageSetup fitToHeight="0" fitToWidth="1" horizontalDpi="600" verticalDpi="600" orientation="landscape" paperSize="9" scale="55" r:id="rId1"/>
  <rowBreaks count="1" manualBreakCount="1">
    <brk id="6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4">
      <selection activeCell="W10" sqref="W10"/>
    </sheetView>
  </sheetViews>
  <sheetFormatPr defaultColWidth="9.00390625" defaultRowHeight="12.75"/>
  <cols>
    <col min="1" max="1" width="5.875" style="2" customWidth="1"/>
    <col min="2" max="2" width="18.875" style="2" customWidth="1"/>
    <col min="3" max="3" width="10.75390625" style="2" customWidth="1"/>
    <col min="4" max="4" width="11.625" style="2" customWidth="1"/>
    <col min="5" max="5" width="12.625" style="2" customWidth="1"/>
    <col min="6" max="6" width="8.75390625" style="2" customWidth="1"/>
    <col min="7" max="7" width="9.125" style="2" customWidth="1"/>
    <col min="8" max="8" width="9.625" style="2" customWidth="1"/>
    <col min="9" max="16384" width="9.125" style="2" customWidth="1"/>
  </cols>
  <sheetData>
    <row r="1" spans="13:16" ht="18" customHeight="1">
      <c r="M1" s="199"/>
      <c r="N1" s="199"/>
      <c r="O1" s="206"/>
      <c r="P1" s="206"/>
    </row>
    <row r="2" spans="13:16" ht="50.25" customHeight="1">
      <c r="M2" s="200"/>
      <c r="N2" s="200"/>
      <c r="O2" s="200"/>
      <c r="P2" s="200"/>
    </row>
    <row r="3" spans="15:16" ht="18.75" customHeight="1">
      <c r="O3" s="8"/>
      <c r="P3" s="8"/>
    </row>
    <row r="4" spans="1:16" ht="39.75" customHeight="1">
      <c r="A4" s="208" t="s">
        <v>57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27" customHeight="1">
      <c r="A5" s="3"/>
      <c r="B5" s="3"/>
      <c r="C5" s="3"/>
      <c r="D5" s="3"/>
      <c r="E5" s="3"/>
      <c r="F5" s="3"/>
      <c r="G5" s="3"/>
      <c r="H5" s="209" t="s">
        <v>11</v>
      </c>
      <c r="I5" s="210"/>
      <c r="J5" s="210"/>
      <c r="K5" s="210"/>
      <c r="L5" s="210"/>
      <c r="M5" s="210"/>
      <c r="N5" s="210"/>
      <c r="O5" s="210"/>
      <c r="P5" s="210"/>
    </row>
    <row r="6" spans="1:16" ht="32.25" customHeight="1">
      <c r="A6" s="3"/>
      <c r="B6" s="3"/>
      <c r="C6" s="3"/>
      <c r="D6" s="3"/>
      <c r="E6" s="3"/>
      <c r="F6" s="3"/>
      <c r="G6" s="3"/>
      <c r="H6" s="211" t="s">
        <v>54</v>
      </c>
      <c r="I6" s="212"/>
      <c r="J6" s="212"/>
      <c r="K6" s="212"/>
      <c r="L6" s="212"/>
      <c r="M6" s="212"/>
      <c r="N6" s="212"/>
      <c r="O6" s="212"/>
      <c r="P6" s="212"/>
    </row>
    <row r="7" ht="28.5" customHeight="1">
      <c r="O7" s="2" t="s">
        <v>7</v>
      </c>
    </row>
    <row r="8" spans="1:16" ht="12.75" customHeight="1">
      <c r="A8" s="201" t="s">
        <v>38</v>
      </c>
      <c r="B8" s="201" t="s">
        <v>39</v>
      </c>
      <c r="C8" s="201" t="s">
        <v>40</v>
      </c>
      <c r="D8" s="201" t="s">
        <v>41</v>
      </c>
      <c r="E8" s="201" t="s">
        <v>53</v>
      </c>
      <c r="F8" s="201" t="s">
        <v>42</v>
      </c>
      <c r="G8" s="203"/>
      <c r="H8" s="201" t="s">
        <v>43</v>
      </c>
      <c r="I8" s="201"/>
      <c r="J8" s="201"/>
      <c r="K8" s="201"/>
      <c r="L8" s="201"/>
      <c r="M8" s="201"/>
      <c r="N8" s="198" t="s">
        <v>44</v>
      </c>
      <c r="O8" s="198"/>
      <c r="P8" s="198"/>
    </row>
    <row r="9" spans="1:16" ht="26.25" customHeight="1">
      <c r="A9" s="201"/>
      <c r="B9" s="201"/>
      <c r="C9" s="201"/>
      <c r="D9" s="201"/>
      <c r="E9" s="201"/>
      <c r="F9" s="203"/>
      <c r="G9" s="203"/>
      <c r="H9" s="201"/>
      <c r="I9" s="201"/>
      <c r="J9" s="201"/>
      <c r="K9" s="201"/>
      <c r="L9" s="201"/>
      <c r="M9" s="201"/>
      <c r="N9" s="198"/>
      <c r="O9" s="198"/>
      <c r="P9" s="198"/>
    </row>
    <row r="10" spans="1:16" ht="47.25" customHeight="1">
      <c r="A10" s="202"/>
      <c r="B10" s="202"/>
      <c r="C10" s="202"/>
      <c r="D10" s="202"/>
      <c r="E10" s="202"/>
      <c r="F10" s="11" t="s">
        <v>45</v>
      </c>
      <c r="G10" s="12" t="s">
        <v>46</v>
      </c>
      <c r="H10" s="11" t="s">
        <v>47</v>
      </c>
      <c r="I10" s="11" t="s">
        <v>48</v>
      </c>
      <c r="J10" s="11" t="s">
        <v>49</v>
      </c>
      <c r="K10" s="11" t="s">
        <v>50</v>
      </c>
      <c r="L10" s="11" t="s">
        <v>8</v>
      </c>
      <c r="M10" s="11" t="s">
        <v>51</v>
      </c>
      <c r="N10" s="11" t="s">
        <v>52</v>
      </c>
      <c r="O10" s="11" t="s">
        <v>49</v>
      </c>
      <c r="P10" s="11" t="s">
        <v>8</v>
      </c>
    </row>
    <row r="11" spans="1:16" ht="1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7</v>
      </c>
      <c r="G11" s="13">
        <v>8</v>
      </c>
      <c r="H11" s="13">
        <v>9</v>
      </c>
      <c r="I11" s="13">
        <v>10</v>
      </c>
      <c r="J11" s="13">
        <v>11</v>
      </c>
      <c r="K11" s="13">
        <v>12</v>
      </c>
      <c r="L11" s="13">
        <v>13</v>
      </c>
      <c r="M11" s="13">
        <v>14</v>
      </c>
      <c r="N11" s="13">
        <v>15</v>
      </c>
      <c r="O11" s="13">
        <v>16</v>
      </c>
      <c r="P11" s="13">
        <v>17</v>
      </c>
    </row>
    <row r="12" spans="1:16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9.75" customHeight="1">
      <c r="A20" s="4"/>
      <c r="B20" s="10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.75" customHeight="1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3" spans="2:16" s="7" customFormat="1" ht="15.75">
      <c r="B23" s="207" t="s">
        <v>9</v>
      </c>
      <c r="C23" s="207"/>
      <c r="D23" s="207"/>
      <c r="E23" s="207"/>
      <c r="G23" s="207"/>
      <c r="H23" s="207"/>
      <c r="I23" s="207"/>
      <c r="J23" s="207"/>
      <c r="K23" s="207"/>
      <c r="L23" s="207"/>
      <c r="M23" s="207"/>
      <c r="O23" s="207" t="s">
        <v>10</v>
      </c>
      <c r="P23" s="207"/>
    </row>
    <row r="24" spans="2:16" s="7" customFormat="1" ht="15.75">
      <c r="B24" s="9"/>
      <c r="C24" s="9"/>
      <c r="D24" s="9"/>
      <c r="E24" s="9"/>
      <c r="G24" s="9"/>
      <c r="H24" s="9"/>
      <c r="I24" s="9"/>
      <c r="J24" s="9"/>
      <c r="K24" s="9"/>
      <c r="L24" s="9"/>
      <c r="M24" s="9"/>
      <c r="O24" s="9"/>
      <c r="P24" s="9"/>
    </row>
    <row r="25" spans="2:16" s="7" customFormat="1" ht="15.75">
      <c r="B25" s="9"/>
      <c r="C25" s="9"/>
      <c r="D25" s="9"/>
      <c r="E25" s="9"/>
      <c r="G25" s="9"/>
      <c r="H25" s="9"/>
      <c r="I25" s="9"/>
      <c r="J25" s="9"/>
      <c r="K25" s="9"/>
      <c r="L25" s="9"/>
      <c r="M25" s="9"/>
      <c r="O25" s="9"/>
      <c r="P25" s="9"/>
    </row>
    <row r="26" spans="1:16" s="1" customFormat="1" ht="49.5" customHeight="1">
      <c r="A26" s="205"/>
      <c r="B26" s="205"/>
      <c r="C26" s="205"/>
      <c r="N26" s="204"/>
      <c r="O26" s="204"/>
      <c r="P26" s="204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 Коваленко</cp:lastModifiedBy>
  <cp:lastPrinted>2020-05-06T03:11:02Z</cp:lastPrinted>
  <dcterms:created xsi:type="dcterms:W3CDTF">2007-07-17T01:27:34Z</dcterms:created>
  <dcterms:modified xsi:type="dcterms:W3CDTF">2020-05-06T03:13:57Z</dcterms:modified>
  <cp:category/>
  <cp:version/>
  <cp:contentType/>
  <cp:contentStatus/>
</cp:coreProperties>
</file>